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65431" windowWidth="14715" windowHeight="11610" activeTab="0"/>
  </bookViews>
  <sheets>
    <sheet name="прогноз 2022" sheetId="1" r:id="rId1"/>
    <sheet name="Лист1" sheetId="2" r:id="rId2"/>
    <sheet name="ниже min" sheetId="3" r:id="rId3"/>
    <sheet name="Лист2" sheetId="4" r:id="rId4"/>
    <sheet name="инвестиции" sheetId="5" r:id="rId5"/>
    <sheet name="Лист3" sheetId="6" r:id="rId6"/>
  </sheets>
  <definedNames>
    <definedName name="_xlnm.Print_Titles" localSheetId="0">'прогноз 2022'!$8:$10</definedName>
    <definedName name="_xlnm.Print_Area" localSheetId="0">'прогноз 2022'!$A$1:$O$165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<sst xmlns="http://schemas.openxmlformats.org/spreadsheetml/2006/main" count="644" uniqueCount="426">
  <si>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</si>
  <si>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</si>
  <si>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</si>
  <si>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</si>
  <si>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</si>
  <si>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</si>
  <si>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</si>
  <si>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</si>
  <si>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</si>
  <si>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</si>
  <si>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</si>
  <si>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</si>
  <si>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</si>
  <si>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</si>
  <si>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</si>
  <si>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</si>
  <si>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</si>
  <si>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</si>
  <si>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</si>
  <si>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</si>
  <si>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</si>
  <si>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</si>
  <si>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</si>
  <si>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</si>
  <si>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</si>
  <si>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</si>
  <si>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</si>
  <si>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</si>
  <si>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</si>
  <si>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</si>
  <si>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</si>
  <si>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</si>
  <si>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</si>
  <si>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</si>
  <si>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</si>
  <si>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</si>
  <si>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</si>
  <si>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</si>
  <si>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</si>
  <si>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</si>
  <si>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</si>
  <si>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</si>
  <si>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</si>
  <si>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</si>
  <si>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</si>
  <si>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</si>
  <si>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</si>
  <si>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</si>
  <si>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</si>
  <si>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1 вариант</t>
  </si>
  <si>
    <t>2 вариант</t>
  </si>
  <si>
    <t>Строительство</t>
  </si>
  <si>
    <t>рублей</t>
  </si>
  <si>
    <t>Численность населения (в среднегодовом исчислении)</t>
  </si>
  <si>
    <t>Суммарный коэффициент рождаемости</t>
  </si>
  <si>
    <t>число детей на 1 женщину</t>
  </si>
  <si>
    <t>тыс. чел</t>
  </si>
  <si>
    <t>% г/г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</si>
  <si>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</si>
  <si>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</si>
  <si>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</si>
  <si>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</si>
  <si>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</si>
  <si>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</si>
  <si>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</si>
  <si>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</si>
  <si>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</si>
  <si>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</si>
  <si>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</si>
  <si>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</si>
  <si>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</si>
  <si>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</si>
  <si>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</si>
  <si>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</si>
  <si>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</si>
  <si>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</si>
  <si>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</si>
  <si>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</si>
  <si>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</si>
  <si>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</si>
  <si>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</si>
  <si>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</si>
  <si>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</si>
  <si>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</si>
  <si>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</si>
  <si>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</si>
  <si>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>Объем работ, выполненных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</si>
  <si>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</si>
  <si>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</si>
  <si>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</si>
  <si>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млрд. рублей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</si>
  <si>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</si>
  <si>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</si>
  <si>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</si>
  <si>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</si>
  <si>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</si>
  <si>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</si>
  <si>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</si>
  <si>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</si>
  <si>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</si>
  <si>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</si>
  <si>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</si>
  <si>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</si>
  <si>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</si>
  <si>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</si>
  <si>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% к раб силе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</si>
  <si>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</si>
  <si>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</si>
  <si>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</si>
  <si>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</si>
  <si>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</si>
  <si>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Малое и среднее предпринимательство, включая микропредприятия</t>
  </si>
  <si>
    <t>Инвестиции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</si>
  <si>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</si>
  <si>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</si>
  <si>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</si>
  <si>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</si>
  <si>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</si>
  <si>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</si>
  <si>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</si>
  <si>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</si>
  <si>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</si>
  <si>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1.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</si>
  <si>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</si>
  <si>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</si>
  <si>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Численность населения</t>
  </si>
  <si>
    <t>пенсионеры</t>
  </si>
  <si>
    <t>работающие</t>
  </si>
  <si>
    <t xml:space="preserve">предост. Данные </t>
  </si>
  <si>
    <t xml:space="preserve">в армии и по контракту </t>
  </si>
  <si>
    <t>осужденные</t>
  </si>
  <si>
    <t xml:space="preserve">безработные </t>
  </si>
  <si>
    <t>ИТОГО</t>
  </si>
  <si>
    <t>выехавшие за пределы</t>
  </si>
  <si>
    <t>Численность населения (на 1 января года)</t>
  </si>
  <si>
    <t>Численность населения трудоспособного возраста
(на 1 января года)</t>
  </si>
  <si>
    <t>Численность населения старше трудоспособного возраста
(на 1 января года)</t>
  </si>
  <si>
    <t>Объем отгруженных товаров собственного производства, выполненных работ и услуг собственными силами</t>
  </si>
  <si>
    <t>Индексы производства по видам экономической деятельности</t>
  </si>
  <si>
    <t>млн руб.</t>
  </si>
  <si>
    <t>% к предыдущему году
в сопоставимых ценах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</si>
  <si>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</si>
  <si>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</si>
  <si>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</si>
  <si>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</si>
  <si>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Индекс физического объема работ, выполненных по виду деятельности "Строительство"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</si>
  <si>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</si>
  <si>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</si>
  <si>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платных услуг населению</t>
  </si>
  <si>
    <t>Индекс-дефлятор объема платных услуг населению</t>
  </si>
  <si>
    <t>Индекс физического объема инвестиций в основной капитал</t>
  </si>
  <si>
    <t>Индекс-дефлятор инвестиций в основной капитал</t>
  </si>
  <si>
    <t>Среднегодовая численность занятых в экономике (по данным баланса трудовых ресурсов)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</si>
  <si>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</si>
  <si>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Индекс производительности труда</t>
  </si>
  <si>
    <t>в % к предыдущему году</t>
  </si>
  <si>
    <t>Уровень безработицы (по методологии МОТ)</t>
  </si>
  <si>
    <t>Общая численность безработных (по методологии МОТ)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</si>
  <si>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</si>
  <si>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</si>
  <si>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</si>
  <si>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</si>
  <si>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</si>
  <si>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</si>
  <si>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</si>
  <si>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</si>
  <si>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</si>
  <si>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</si>
  <si>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1.8.</t>
  </si>
  <si>
    <t>1.9.</t>
  </si>
  <si>
    <t>1.10.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</si>
  <si>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</si>
  <si>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</si>
  <si>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</si>
  <si>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</si>
  <si>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</si>
  <si>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</si>
  <si>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</si>
  <si>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</si>
  <si>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</si>
  <si>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</si>
  <si>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</si>
  <si>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2.145.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</si>
  <si>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</si>
  <si>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</si>
  <si>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</si>
  <si>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</si>
  <si>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</si>
  <si>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</si>
  <si>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</si>
  <si>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</si>
  <si>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</si>
  <si>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</si>
  <si>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</si>
  <si>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</si>
  <si>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</si>
  <si>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</si>
  <si>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</si>
  <si>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</si>
  <si>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</si>
  <si>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</si>
  <si>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</si>
  <si>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</si>
  <si>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</si>
  <si>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</si>
  <si>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</si>
  <si>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</si>
  <si>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</si>
  <si>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</si>
  <si>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</si>
  <si>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</si>
  <si>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</si>
  <si>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</si>
  <si>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</si>
  <si>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</si>
  <si>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</si>
  <si>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</si>
  <si>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</si>
  <si>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</si>
  <si>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</si>
  <si>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</si>
  <si>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</si>
  <si>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</si>
  <si>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</si>
  <si>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</si>
  <si>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</si>
  <si>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</si>
  <si>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</si>
  <si>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</si>
  <si>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</si>
  <si>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</si>
  <si>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</si>
  <si>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</si>
  <si>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</si>
  <si>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</si>
  <si>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</si>
  <si>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</si>
  <si>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</si>
  <si>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</si>
  <si>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</si>
  <si>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</si>
  <si>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</si>
  <si>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8.1.</t>
  </si>
  <si>
    <t>8.2.</t>
  </si>
  <si>
    <t>8.3.</t>
  </si>
  <si>
    <t>8.4.</t>
  </si>
  <si>
    <t>8.5.</t>
  </si>
  <si>
    <t>8.6.</t>
  </si>
  <si>
    <t>9.1.</t>
  </si>
  <si>
    <t>Торговля и услуги населению</t>
  </si>
  <si>
    <t>пенс.фонд</t>
  </si>
  <si>
    <t>соц.защита</t>
  </si>
  <si>
    <t>пособие на ребенка,  8767 детей  без учета семьи</t>
  </si>
  <si>
    <t>соц.помощь 2174</t>
  </si>
  <si>
    <t>итого</t>
  </si>
  <si>
    <t xml:space="preserve">населения с денежными доходами ниже прожиточного минимума </t>
  </si>
  <si>
    <t>пенсионеры, получающие пенсию ниже прожиточного минимума</t>
  </si>
  <si>
    <t>численность населения</t>
  </si>
  <si>
    <t>они наверное в пенсионерах сидят</t>
  </si>
  <si>
    <t>мигранты</t>
  </si>
  <si>
    <t>дети 0 до 2лет</t>
  </si>
  <si>
    <t>дети в ДОУ с 3 до 6</t>
  </si>
  <si>
    <t>ученики СОШ от 7-15</t>
  </si>
  <si>
    <t xml:space="preserve">студенты ссуз </t>
  </si>
  <si>
    <t>студенты ввуз</t>
  </si>
  <si>
    <t>№</t>
  </si>
  <si>
    <t>итого рабочая сила  (стр.2+6+7+8+9+13+14)</t>
  </si>
  <si>
    <t>разница (107183-стр10)</t>
  </si>
  <si>
    <t xml:space="preserve">работ.пенсионеры - 3000, +ИП-5447 </t>
  </si>
  <si>
    <t>примечание</t>
  </si>
  <si>
    <t>29385-3000+5447+1560</t>
  </si>
  <si>
    <t>30318-3640</t>
  </si>
  <si>
    <t>трудоспособ возраста но получают пенсию 5200 чел. ( но из 5200 имеют инвалидность, 30% которые имеют возм-ть работать) 5200-3640= 1560</t>
  </si>
  <si>
    <t>итого рабочая сила  (трудовые ресурсы) (стр.2+6+7+8+9+13+14)</t>
  </si>
  <si>
    <t>N п/п</t>
  </si>
  <si>
    <t>Наименование показателя</t>
  </si>
  <si>
    <t>I.</t>
  </si>
  <si>
    <t>Наличие трудовых ресурсов</t>
  </si>
  <si>
    <t>Численность трудовых ресурсов - всего</t>
  </si>
  <si>
    <t>в том числе:</t>
  </si>
  <si>
    <t>трудоспособное население в трудоспособном возрасте</t>
  </si>
  <si>
    <t>иностранные трудовые мигранты</t>
  </si>
  <si>
    <t>численность лиц старше трудоспособного возраста и подростков, занятых в экономике</t>
  </si>
  <si>
    <t>пенсионеры старше трудоспособного возраста</t>
  </si>
  <si>
    <t>подростки моложе трудоспособного возраста</t>
  </si>
  <si>
    <t>II.</t>
  </si>
  <si>
    <t>Распределение трудовых ресурсов</t>
  </si>
  <si>
    <t>Численность занятых в экономике - всего</t>
  </si>
  <si>
    <t>в том числе по разделам ОКВЭД: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</si>
  <si>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</si>
  <si>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</si>
  <si>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</si>
  <si>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</si>
  <si>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</si>
  <si>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</si>
  <si>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</si>
  <si>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</si>
  <si>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</si>
  <si>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</si>
  <si>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</si>
  <si>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</si>
  <si>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</si>
  <si>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</si>
  <si>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</si>
  <si>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</si>
  <si>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</si>
  <si>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</si>
  <si>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</si>
  <si>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- всего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</si>
  <si>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</si>
  <si>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</si>
  <si>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</si>
  <si>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2019г.</t>
  </si>
  <si>
    <t>с бюллютеня</t>
  </si>
  <si>
    <t>данные ФМС</t>
  </si>
  <si>
    <t>1.3.1.</t>
  </si>
  <si>
    <t>1.3.2.</t>
  </si>
  <si>
    <t>в армии</t>
  </si>
  <si>
    <t>Количество ИП  5447 + работники 1,5</t>
  </si>
  <si>
    <t>61191-37883-8171.</t>
  </si>
  <si>
    <t>Население, выехавшие за пределы, в т.ч.</t>
  </si>
  <si>
    <t>студенты</t>
  </si>
  <si>
    <t>ИТОГО занятые в экономике</t>
  </si>
  <si>
    <t>29385+8171+12837</t>
  </si>
  <si>
    <t>Расчет трудовых ресурсов  и занятых в экономике</t>
  </si>
  <si>
    <t>индекс -дефлятор</t>
  </si>
  <si>
    <t>Одобрено  постановлением Администрации города Элисты</t>
  </si>
  <si>
    <t xml:space="preserve">Прогноз  социально-экономического развития города Элисты </t>
  </si>
  <si>
    <t>млрд рублей</t>
  </si>
  <si>
    <t>Индекс  потребительских цен на товары и услуги, в среднем за год</t>
  </si>
  <si>
    <r>
      <t xml:space="preserve">Инвестиции в основной капитал по источникам
финансирования </t>
    </r>
    <r>
      <rPr>
        <b/>
        <i/>
        <sz val="14"/>
        <rFont val="Times New Roman"/>
        <family val="1"/>
      </rPr>
      <t>(без субъектов малого и среднего предпринимательства и объема инвестиций, не наблюдаемых прямыми статистическими методами)</t>
    </r>
  </si>
  <si>
    <t>Оборот розничной торговли ( по крупным и средним предприятиям)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</si>
  <si>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</si>
  <si>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</si>
  <si>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</si>
  <si>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</si>
  <si>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</si>
  <si>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</si>
  <si>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</si>
  <si>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</si>
  <si>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</si>
  <si>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</si>
  <si>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</si>
  <si>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</si>
  <si>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</si>
  <si>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показатели</t>
  </si>
  <si>
    <t>ед.изм.</t>
  </si>
  <si>
    <t>на 2022 год и плановый период 2023 и 2024 годов</t>
  </si>
  <si>
    <t>Кредиты банков, в том числе:</t>
  </si>
  <si>
    <t>Доходы бюджета города Элисты</t>
  </si>
  <si>
    <t>млн. руб.</t>
  </si>
  <si>
    <t>Налоговые и неналоговые доходы, всего</t>
  </si>
  <si>
    <t>млн.руб.</t>
  </si>
  <si>
    <t>Налоговые доходы бюджета города Элисты всего, в том числе: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</si>
  <si>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</si>
  <si>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</si>
  <si>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</si>
  <si>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</si>
  <si>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</si>
  <si>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</si>
  <si>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</si>
  <si>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</si>
  <si>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</si>
  <si>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</si>
  <si>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</si>
  <si>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</si>
  <si>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</si>
  <si>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</si>
  <si>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</si>
  <si>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</si>
  <si>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>Расходы  бюджета города Элисты  всего, в том числе по направлениям: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</si>
  <si>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</si>
  <si>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</si>
  <si>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</si>
  <si>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</si>
  <si>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</si>
  <si>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</si>
  <si>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</si>
  <si>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</si>
  <si>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</si>
  <si>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</si>
  <si>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</si>
  <si>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</si>
  <si>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</si>
  <si>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Дефицит(-),профицит(+) бюджета города Элисты, млн. рублей</t>
  </si>
  <si>
    <t xml:space="preserve">Муниципальный долг 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</si>
  <si>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</si>
  <si>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</si>
  <si>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</si>
  <si>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</si>
  <si>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</si>
  <si>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</si>
  <si>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</si>
  <si>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</si>
  <si>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</si>
  <si>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</si>
  <si>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</si>
  <si>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</si>
  <si>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</si>
  <si>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</si>
  <si>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</si>
  <si>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</si>
  <si>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</si>
  <si>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</si>
  <si>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10.20.</t>
  </si>
  <si>
    <t>10.19.</t>
  </si>
  <si>
    <t>10.21.</t>
  </si>
  <si>
    <t>10.22.</t>
  </si>
  <si>
    <t>10.23.</t>
  </si>
  <si>
    <t>10.24.</t>
  </si>
  <si>
    <t>10.25.</t>
  </si>
  <si>
    <t>10.26.</t>
  </si>
  <si>
    <t>10.27.</t>
  </si>
  <si>
    <t>10.28.</t>
  </si>
  <si>
    <t>10.29.</t>
  </si>
  <si>
    <t>10.30.</t>
  </si>
  <si>
    <t>10.31.</t>
  </si>
  <si>
    <t>10.32.</t>
  </si>
  <si>
    <t>10.33.</t>
  </si>
  <si>
    <t>10.34.</t>
  </si>
  <si>
    <t>10.35.</t>
  </si>
  <si>
    <t>иные межбюджетные трансферты из федерального бюджета</t>
  </si>
  <si>
    <t>Условно-утвержденные расходы</t>
  </si>
  <si>
    <t>10.36.</t>
  </si>
  <si>
    <t>Финансы</t>
  </si>
  <si>
    <t>от 15 ноября 2021 г. № 2195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</si>
</sst>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#,##0.0"/>
    <numFmt numFmtId="183" formatCode="#,##0.000"/>
  </numFmts>
  <fonts count="62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76" fontId="0" fillId="0" borderId="10" xfId="0" applyNumberForma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indent="4"/>
    </xf>
    <xf numFmtId="0" fontId="16" fillId="0" borderId="10" xfId="0" applyFont="1" applyBorder="1" applyAlignment="1">
      <alignment horizontal="left" vertical="center" wrapText="1" indent="1"/>
    </xf>
    <xf numFmtId="14" fontId="16" fillId="0" borderId="10" xfId="0" applyNumberFormat="1" applyFont="1" applyBorder="1" applyAlignment="1">
      <alignment horizontal="center" vertical="center" wrapText="1"/>
    </xf>
    <xf numFmtId="0" fontId="20" fillId="0" borderId="10" xfId="42" applyFont="1" applyBorder="1" applyAlignment="1" applyProtection="1">
      <alignment horizontal="left" vertical="center" wrapText="1" indent="4"/>
      <protection/>
    </xf>
    <xf numFmtId="0" fontId="17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center" wrapText="1" indent="4"/>
    </xf>
    <xf numFmtId="0" fontId="21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" fontId="16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1" fontId="19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176" fontId="60" fillId="33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wrapText="1"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176" fontId="4" fillId="1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 applyProtection="1">
      <alignment horizontal="center" vertical="center" wrapText="1" shrinkToFit="1"/>
      <protection/>
    </xf>
    <xf numFmtId="0" fontId="3" fillId="13" borderId="10" xfId="0" applyFont="1" applyFill="1" applyBorder="1" applyAlignment="1">
      <alignment vertical="center" wrapText="1"/>
    </xf>
    <xf numFmtId="0" fontId="0" fillId="13" borderId="0" xfId="0" applyFill="1" applyAlignment="1">
      <alignment/>
    </xf>
    <xf numFmtId="0" fontId="3" fillId="13" borderId="10" xfId="0" applyFont="1" applyFill="1" applyBorder="1" applyAlignment="1" applyProtection="1">
      <alignment horizontal="left" vertical="center" wrapText="1" shrinkToFit="1"/>
      <protection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7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33" borderId="0" xfId="0" applyFill="1" applyAlignment="1">
      <alignment/>
    </xf>
    <xf numFmtId="0" fontId="3" fillId="1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shrinkToFit="1"/>
    </xf>
    <xf numFmtId="0" fontId="0" fillId="0" borderId="0" xfId="0" applyAlignment="1">
      <alignment vertical="top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2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23" fillId="34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2" fontId="60" fillId="3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176" fontId="4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 wrapText="1" shrinkToFit="1"/>
      <protection/>
    </xf>
    <xf numFmtId="17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176" fontId="4" fillId="3" borderId="15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 shrinkToFit="1"/>
    </xf>
    <xf numFmtId="1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A1FDAC588F7A61C6856C28BEBFE44173A58037953888AE39849378898301EECC241B9798812A58609B7A671D6O9TFG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5"/>
  <sheetViews>
    <sheetView tabSelected="1" view="pageBreakPreview" zoomScale="70" zoomScaleNormal="70" zoomScaleSheetLayoutView="70" zoomScalePageLayoutView="0" workbookViewId="0" topLeftCell="A1">
      <pane ySplit="11" topLeftCell="A12" activePane="bottomLeft" state="frozen"/>
      <selection pane="topLeft" activeCell="A1" sqref="A1"/>
      <selection pane="bottomLeft" activeCell="K3" sqref="K3"/>
    </sheetView>
  </sheetViews>
  <sheetFormatPr defaultColWidth="8.875" defaultRowHeight="12.75"/>
  <cols>
    <col min="1" max="1" width="9.625" style="14" bestFit="1" customWidth="1"/>
    <col min="2" max="2" width="69.625" style="1" customWidth="1"/>
    <col min="3" max="3" width="32.25390625" style="1" customWidth="1"/>
    <col min="4" max="4" width="13.75390625" style="21" hidden="1" customWidth="1"/>
    <col min="5" max="5" width="10.125" style="21" hidden="1" customWidth="1"/>
    <col min="6" max="6" width="13.75390625" style="21" hidden="1" customWidth="1"/>
    <col min="7" max="7" width="13.75390625" style="111" customWidth="1"/>
    <col min="8" max="15" width="13.75390625" style="21" customWidth="1"/>
    <col min="16" max="16" width="12.75390625" style="1" bestFit="1" customWidth="1"/>
    <col min="17" max="22" width="9.375" style="1" bestFit="1" customWidth="1"/>
    <col min="23" max="16384" width="8.875" style="1" customWidth="1"/>
  </cols>
  <sheetData>
    <row r="1" spans="7:15" ht="39.75" customHeight="1">
      <c r="G1" s="110"/>
      <c r="H1" s="41"/>
      <c r="I1" s="41"/>
      <c r="J1" s="41"/>
      <c r="K1" s="149" t="s">
        <v>326</v>
      </c>
      <c r="L1" s="149"/>
      <c r="M1" s="149"/>
      <c r="N1" s="149"/>
      <c r="O1" s="149"/>
    </row>
    <row r="2" spans="7:15" ht="21.75" customHeight="1">
      <c r="G2" s="110"/>
      <c r="H2" s="41"/>
      <c r="I2" s="41"/>
      <c r="J2" s="41"/>
      <c r="K2" s="149" t="s">
        <v>425</v>
      </c>
      <c r="L2" s="149"/>
      <c r="M2" s="149"/>
      <c r="N2" s="149"/>
      <c r="O2" s="149"/>
    </row>
    <row r="3" ht="21.75" customHeight="1"/>
    <row r="4" spans="1:15" ht="21" customHeight="1">
      <c r="A4" s="153" t="s">
        <v>327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20.25">
      <c r="A5" s="153" t="s">
        <v>347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21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ht="18">
      <c r="B7" s="1" t="s">
        <v>24</v>
      </c>
    </row>
    <row r="8" spans="1:15" ht="18.75" customHeight="1">
      <c r="A8" s="161"/>
      <c r="B8" s="155" t="s">
        <v>27</v>
      </c>
      <c r="C8" s="155" t="s">
        <v>28</v>
      </c>
      <c r="D8" s="20" t="s">
        <v>29</v>
      </c>
      <c r="E8" s="20" t="s">
        <v>29</v>
      </c>
      <c r="F8" s="20" t="s">
        <v>29</v>
      </c>
      <c r="G8" s="112" t="s">
        <v>29</v>
      </c>
      <c r="H8" s="20" t="s">
        <v>29</v>
      </c>
      <c r="I8" s="129" t="s">
        <v>30</v>
      </c>
      <c r="J8" s="150" t="s">
        <v>31</v>
      </c>
      <c r="K8" s="152"/>
      <c r="L8" s="152"/>
      <c r="M8" s="152"/>
      <c r="N8" s="152"/>
      <c r="O8" s="151"/>
    </row>
    <row r="9" spans="1:15" ht="22.5" customHeight="1">
      <c r="A9" s="162"/>
      <c r="B9" s="156"/>
      <c r="C9" s="156"/>
      <c r="D9" s="155">
        <v>2016</v>
      </c>
      <c r="E9" s="155">
        <v>2017</v>
      </c>
      <c r="F9" s="155">
        <v>2018</v>
      </c>
      <c r="G9" s="158">
        <v>2019</v>
      </c>
      <c r="H9" s="155">
        <v>2020</v>
      </c>
      <c r="I9" s="155">
        <v>2021</v>
      </c>
      <c r="J9" s="150">
        <v>2022</v>
      </c>
      <c r="K9" s="151"/>
      <c r="L9" s="150">
        <v>2023</v>
      </c>
      <c r="M9" s="151"/>
      <c r="N9" s="150">
        <v>2024</v>
      </c>
      <c r="O9" s="151"/>
    </row>
    <row r="10" spans="1:15" ht="37.5">
      <c r="A10" s="162"/>
      <c r="B10" s="156"/>
      <c r="C10" s="156"/>
      <c r="D10" s="156"/>
      <c r="E10" s="156"/>
      <c r="F10" s="156"/>
      <c r="G10" s="159"/>
      <c r="H10" s="156"/>
      <c r="I10" s="156"/>
      <c r="J10" s="20" t="s">
        <v>48</v>
      </c>
      <c r="K10" s="20" t="s">
        <v>47</v>
      </c>
      <c r="L10" s="20" t="s">
        <v>48</v>
      </c>
      <c r="M10" s="20" t="s">
        <v>47</v>
      </c>
      <c r="N10" s="20" t="s">
        <v>48</v>
      </c>
      <c r="O10" s="20" t="s">
        <v>47</v>
      </c>
    </row>
    <row r="11" spans="1:15" ht="38.25" customHeight="1">
      <c r="A11" s="163"/>
      <c r="B11" s="157"/>
      <c r="C11" s="157"/>
      <c r="D11" s="157"/>
      <c r="E11" s="157"/>
      <c r="F11" s="157"/>
      <c r="G11" s="160"/>
      <c r="H11" s="157"/>
      <c r="I11" s="157"/>
      <c r="J11" s="20" t="s">
        <v>49</v>
      </c>
      <c r="K11" s="20" t="s">
        <v>50</v>
      </c>
      <c r="L11" s="20" t="s">
        <v>49</v>
      </c>
      <c r="M11" s="20" t="s">
        <v>50</v>
      </c>
      <c r="N11" s="20" t="s">
        <v>49</v>
      </c>
      <c r="O11" s="20" t="s">
        <v>50</v>
      </c>
    </row>
    <row r="12" spans="1:15" s="106" customFormat="1" ht="18.75">
      <c r="A12" s="114" t="s">
        <v>122</v>
      </c>
      <c r="B12" s="99" t="s">
        <v>2</v>
      </c>
      <c r="C12" s="99"/>
      <c r="D12" s="115"/>
      <c r="E12" s="115"/>
      <c r="F12" s="115"/>
      <c r="G12" s="115"/>
      <c r="H12" s="115"/>
      <c r="I12" s="115"/>
      <c r="J12" s="116"/>
      <c r="K12" s="116"/>
      <c r="L12" s="116"/>
      <c r="M12" s="116"/>
      <c r="N12" s="116"/>
      <c r="O12" s="116"/>
    </row>
    <row r="13" spans="1:15" ht="28.5" customHeight="1">
      <c r="A13" s="5" t="s">
        <v>158</v>
      </c>
      <c r="B13" s="3" t="s">
        <v>53</v>
      </c>
      <c r="C13" s="2" t="s">
        <v>32</v>
      </c>
      <c r="D13" s="22">
        <v>108.531</v>
      </c>
      <c r="E13" s="22"/>
      <c r="F13" s="22">
        <v>107.445</v>
      </c>
      <c r="G13" s="23">
        <v>107.444</v>
      </c>
      <c r="H13" s="22">
        <v>107.916</v>
      </c>
      <c r="I13" s="22">
        <v>107.871</v>
      </c>
      <c r="J13" s="22">
        <v>107.756</v>
      </c>
      <c r="K13" s="22">
        <v>107.756</v>
      </c>
      <c r="L13" s="22">
        <v>107.867</v>
      </c>
      <c r="M13" s="22">
        <v>107.867</v>
      </c>
      <c r="N13" s="22">
        <v>108.071</v>
      </c>
      <c r="O13" s="22">
        <v>108.071</v>
      </c>
    </row>
    <row r="14" spans="1:15" s="35" customFormat="1" ht="28.5" customHeight="1">
      <c r="A14" s="33" t="s">
        <v>159</v>
      </c>
      <c r="B14" s="34" t="s">
        <v>134</v>
      </c>
      <c r="C14" s="33" t="s">
        <v>16</v>
      </c>
      <c r="D14" s="33"/>
      <c r="E14" s="33"/>
      <c r="F14" s="33">
        <v>107.708</v>
      </c>
      <c r="G14" s="95">
        <v>107.183</v>
      </c>
      <c r="H14" s="33">
        <v>107.707</v>
      </c>
      <c r="I14" s="33">
        <v>108.126</v>
      </c>
      <c r="J14" s="33">
        <v>107.616</v>
      </c>
      <c r="K14" s="33">
        <v>107.616</v>
      </c>
      <c r="L14" s="33">
        <v>107.896</v>
      </c>
      <c r="M14" s="33">
        <v>107.896</v>
      </c>
      <c r="N14" s="33">
        <v>107.998</v>
      </c>
      <c r="O14" s="33">
        <v>107.998</v>
      </c>
    </row>
    <row r="15" spans="1:15" ht="44.25" customHeight="1">
      <c r="A15" s="5" t="s">
        <v>160</v>
      </c>
      <c r="B15" s="36" t="s">
        <v>135</v>
      </c>
      <c r="C15" s="2" t="s">
        <v>32</v>
      </c>
      <c r="D15" s="22">
        <v>60.461</v>
      </c>
      <c r="E15" s="22"/>
      <c r="F15" s="22">
        <v>58.969</v>
      </c>
      <c r="G15" s="23">
        <v>57.735</v>
      </c>
      <c r="H15" s="22">
        <v>58.634</v>
      </c>
      <c r="I15" s="22">
        <v>58.053</v>
      </c>
      <c r="J15" s="22">
        <v>58.784</v>
      </c>
      <c r="K15" s="22">
        <v>58.784</v>
      </c>
      <c r="L15" s="22">
        <v>58.894</v>
      </c>
      <c r="M15" s="22">
        <v>58.894</v>
      </c>
      <c r="N15" s="22">
        <v>59.714</v>
      </c>
      <c r="O15" s="22">
        <v>59.714</v>
      </c>
    </row>
    <row r="16" spans="1:15" ht="56.25">
      <c r="A16" s="5" t="s">
        <v>161</v>
      </c>
      <c r="B16" s="36" t="s">
        <v>136</v>
      </c>
      <c r="C16" s="2" t="s">
        <v>32</v>
      </c>
      <c r="D16" s="22">
        <v>23.522</v>
      </c>
      <c r="E16" s="22"/>
      <c r="F16" s="22">
        <v>24.349</v>
      </c>
      <c r="G16" s="23">
        <v>24.942</v>
      </c>
      <c r="H16" s="22">
        <v>24.244</v>
      </c>
      <c r="I16" s="22">
        <v>24.123</v>
      </c>
      <c r="J16" s="22">
        <v>24.174</v>
      </c>
      <c r="K16" s="22">
        <v>24.174</v>
      </c>
      <c r="L16" s="22">
        <v>24.099</v>
      </c>
      <c r="M16" s="22">
        <v>24.099</v>
      </c>
      <c r="N16" s="22">
        <v>24.014</v>
      </c>
      <c r="O16" s="22">
        <v>24.014</v>
      </c>
    </row>
    <row r="17" spans="1:15" ht="35.25" customHeight="1">
      <c r="A17" s="33" t="s">
        <v>162</v>
      </c>
      <c r="B17" s="3" t="s">
        <v>34</v>
      </c>
      <c r="C17" s="2" t="s">
        <v>35</v>
      </c>
      <c r="D17" s="22">
        <v>72.2</v>
      </c>
      <c r="E17" s="22"/>
      <c r="F17" s="22">
        <v>73.84</v>
      </c>
      <c r="G17" s="23">
        <v>74.84</v>
      </c>
      <c r="H17" s="22">
        <v>72.93</v>
      </c>
      <c r="I17" s="22">
        <v>74.72</v>
      </c>
      <c r="J17" s="22">
        <v>75.07</v>
      </c>
      <c r="K17" s="22">
        <v>75.07</v>
      </c>
      <c r="L17" s="22">
        <v>75.43</v>
      </c>
      <c r="M17" s="22">
        <v>75.43</v>
      </c>
      <c r="N17" s="22">
        <v>75.78</v>
      </c>
      <c r="O17" s="22">
        <v>75.78</v>
      </c>
    </row>
    <row r="18" spans="1:15" ht="37.5">
      <c r="A18" s="5" t="s">
        <v>163</v>
      </c>
      <c r="B18" s="3" t="s">
        <v>36</v>
      </c>
      <c r="C18" s="2" t="s">
        <v>37</v>
      </c>
      <c r="D18" s="22">
        <v>15.157</v>
      </c>
      <c r="E18" s="22"/>
      <c r="F18" s="22">
        <v>13.57</v>
      </c>
      <c r="G18" s="23">
        <v>12.8</v>
      </c>
      <c r="H18" s="22">
        <v>12.2</v>
      </c>
      <c r="I18" s="22">
        <v>12.051</v>
      </c>
      <c r="J18" s="22">
        <v>12.166</v>
      </c>
      <c r="K18" s="22">
        <v>12.315</v>
      </c>
      <c r="L18" s="22">
        <v>12.571</v>
      </c>
      <c r="M18" s="22">
        <v>12.571</v>
      </c>
      <c r="N18" s="22">
        <v>12.733</v>
      </c>
      <c r="O18" s="22">
        <v>12.825</v>
      </c>
    </row>
    <row r="19" spans="1:16" ht="37.5">
      <c r="A19" s="5" t="s">
        <v>164</v>
      </c>
      <c r="B19" s="3" t="s">
        <v>54</v>
      </c>
      <c r="C19" s="2" t="s">
        <v>55</v>
      </c>
      <c r="D19" s="22">
        <v>1.812</v>
      </c>
      <c r="E19" s="22"/>
      <c r="F19" s="22">
        <v>1.705</v>
      </c>
      <c r="G19" s="23">
        <v>1.684</v>
      </c>
      <c r="H19" s="22">
        <v>1.534</v>
      </c>
      <c r="I19" s="22">
        <v>1.53</v>
      </c>
      <c r="J19" s="22">
        <v>1.54</v>
      </c>
      <c r="K19" s="22">
        <v>1.54</v>
      </c>
      <c r="L19" s="22">
        <v>1.55</v>
      </c>
      <c r="M19" s="22">
        <v>1.55</v>
      </c>
      <c r="N19" s="22">
        <v>1.56</v>
      </c>
      <c r="O19" s="22">
        <v>1.56</v>
      </c>
      <c r="P19" s="1">
        <v>1.56</v>
      </c>
    </row>
    <row r="20" spans="1:16" ht="37.5">
      <c r="A20" s="33" t="s">
        <v>168</v>
      </c>
      <c r="B20" s="3" t="s">
        <v>38</v>
      </c>
      <c r="C20" s="2" t="s">
        <v>39</v>
      </c>
      <c r="D20" s="22">
        <v>9.094</v>
      </c>
      <c r="E20" s="22"/>
      <c r="F20" s="22">
        <v>9.046</v>
      </c>
      <c r="G20" s="23">
        <v>9.2</v>
      </c>
      <c r="H20" s="22">
        <v>10.907</v>
      </c>
      <c r="I20" s="22">
        <v>11.124</v>
      </c>
      <c r="J20" s="22">
        <v>10.208</v>
      </c>
      <c r="K20" s="22">
        <v>10.208</v>
      </c>
      <c r="L20" s="22">
        <v>9.178</v>
      </c>
      <c r="M20" s="22">
        <v>9.178</v>
      </c>
      <c r="N20" s="22">
        <v>9.007</v>
      </c>
      <c r="O20" s="22">
        <v>9.007</v>
      </c>
      <c r="P20" s="1">
        <v>9.051374933651188</v>
      </c>
    </row>
    <row r="21" spans="1:15" ht="37.5">
      <c r="A21" s="5" t="s">
        <v>169</v>
      </c>
      <c r="B21" s="3" t="s">
        <v>40</v>
      </c>
      <c r="C21" s="2" t="s">
        <v>41</v>
      </c>
      <c r="D21" s="22">
        <v>6.063000000000001</v>
      </c>
      <c r="E21" s="22"/>
      <c r="F21" s="22">
        <v>4.523</v>
      </c>
      <c r="G21" s="23">
        <v>3.6</v>
      </c>
      <c r="H21" s="22">
        <v>1.534</v>
      </c>
      <c r="I21" s="22">
        <v>1.53</v>
      </c>
      <c r="J21" s="22">
        <v>1.54</v>
      </c>
      <c r="K21" s="22">
        <v>1.54</v>
      </c>
      <c r="L21" s="22">
        <v>1.55</v>
      </c>
      <c r="M21" s="22">
        <v>1.55</v>
      </c>
      <c r="N21" s="22">
        <v>1.56</v>
      </c>
      <c r="O21" s="22">
        <v>1.56</v>
      </c>
    </row>
    <row r="22" spans="1:15" ht="30.75" customHeight="1">
      <c r="A22" s="5" t="s">
        <v>170</v>
      </c>
      <c r="B22" s="3" t="s">
        <v>124</v>
      </c>
      <c r="C22" s="2" t="s">
        <v>56</v>
      </c>
      <c r="D22" s="22">
        <v>-0.676</v>
      </c>
      <c r="E22" s="22"/>
      <c r="F22" s="22">
        <v>-1.004</v>
      </c>
      <c r="G22" s="23">
        <v>0.134</v>
      </c>
      <c r="H22" s="22">
        <v>0.283</v>
      </c>
      <c r="I22" s="22">
        <v>0.03</v>
      </c>
      <c r="J22" s="22">
        <v>0.12</v>
      </c>
      <c r="K22" s="22">
        <v>0.12</v>
      </c>
      <c r="L22" s="22">
        <v>0.132</v>
      </c>
      <c r="M22" s="22">
        <v>0.132</v>
      </c>
      <c r="N22" s="22">
        <v>0.141</v>
      </c>
      <c r="O22" s="22">
        <v>0.141</v>
      </c>
    </row>
    <row r="23" spans="1:15" s="106" customFormat="1" ht="18.75">
      <c r="A23" s="104">
        <v>2</v>
      </c>
      <c r="B23" s="99" t="s">
        <v>108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56.25">
      <c r="A24" s="9" t="s">
        <v>165</v>
      </c>
      <c r="B24" s="36" t="s">
        <v>137</v>
      </c>
      <c r="C24" s="8" t="s">
        <v>42</v>
      </c>
      <c r="D24" s="15">
        <v>3453.7</v>
      </c>
      <c r="E24" s="17">
        <v>3195.4</v>
      </c>
      <c r="F24" s="17">
        <v>3323.1</v>
      </c>
      <c r="G24" s="17">
        <v>3779.2</v>
      </c>
      <c r="H24" s="17">
        <v>4646.1</v>
      </c>
      <c r="I24" s="17">
        <v>4455.2</v>
      </c>
      <c r="J24" s="17">
        <f>I24*1.05</f>
        <v>4677.96</v>
      </c>
      <c r="K24" s="17">
        <f>I24*1.06</f>
        <v>4722.512</v>
      </c>
      <c r="L24" s="17">
        <f>J24*1.02</f>
        <v>4771.5192</v>
      </c>
      <c r="M24" s="17">
        <f>K24*1.013</f>
        <v>4783.904655999999</v>
      </c>
      <c r="N24" s="17">
        <f>L24*1.045</f>
        <v>4986.237563999999</v>
      </c>
      <c r="O24" s="17">
        <f>M24*1.067</f>
        <v>5104.426267951999</v>
      </c>
    </row>
    <row r="25" spans="1:15" ht="37.5">
      <c r="A25" s="9" t="s">
        <v>166</v>
      </c>
      <c r="B25" s="7" t="s">
        <v>43</v>
      </c>
      <c r="C25" s="8" t="s">
        <v>10</v>
      </c>
      <c r="D25" s="15">
        <v>102.9</v>
      </c>
      <c r="E25" s="17">
        <v>73.4</v>
      </c>
      <c r="F25" s="17">
        <v>94.3</v>
      </c>
      <c r="G25" s="17">
        <v>90.1</v>
      </c>
      <c r="H25" s="17">
        <v>100.3</v>
      </c>
      <c r="I25" s="17">
        <v>92.73</v>
      </c>
      <c r="J25" s="17">
        <v>98.4</v>
      </c>
      <c r="K25" s="17">
        <v>110.67</v>
      </c>
      <c r="L25" s="17">
        <v>104.14</v>
      </c>
      <c r="M25" s="17">
        <v>106.59</v>
      </c>
      <c r="N25" s="17">
        <v>102.61</v>
      </c>
      <c r="O25" s="17">
        <v>105.49</v>
      </c>
    </row>
    <row r="26" spans="1:15" s="32" customFormat="1" ht="40.5" customHeight="1">
      <c r="A26" s="33" t="s">
        <v>167</v>
      </c>
      <c r="B26" s="37" t="s">
        <v>138</v>
      </c>
      <c r="C26" s="38"/>
      <c r="D26" s="3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37.5">
      <c r="A27" s="5" t="s">
        <v>171</v>
      </c>
      <c r="B27" s="13" t="s">
        <v>110</v>
      </c>
      <c r="C27" s="2" t="s">
        <v>10</v>
      </c>
      <c r="D27" s="15"/>
      <c r="E27" s="17">
        <v>86.4</v>
      </c>
      <c r="F27" s="17">
        <v>103.6</v>
      </c>
      <c r="G27" s="17">
        <v>81</v>
      </c>
      <c r="H27" s="17">
        <v>71.4</v>
      </c>
      <c r="I27" s="17">
        <v>58.16</v>
      </c>
      <c r="J27" s="17">
        <v>75.49</v>
      </c>
      <c r="K27" s="17">
        <v>104.94</v>
      </c>
      <c r="L27" s="17">
        <v>107.68</v>
      </c>
      <c r="M27" s="17">
        <v>112.17</v>
      </c>
      <c r="N27" s="17">
        <v>105.18</v>
      </c>
      <c r="O27" s="17">
        <v>110.65</v>
      </c>
    </row>
    <row r="28" spans="1:15" ht="37.5">
      <c r="A28" s="9" t="s">
        <v>172</v>
      </c>
      <c r="B28" s="3" t="s">
        <v>58</v>
      </c>
      <c r="C28" s="2" t="s">
        <v>10</v>
      </c>
      <c r="D28" s="15"/>
      <c r="E28" s="17">
        <v>0</v>
      </c>
      <c r="F28" s="17">
        <v>0</v>
      </c>
      <c r="G28" s="17">
        <v>0</v>
      </c>
      <c r="H28" s="17">
        <v>0</v>
      </c>
      <c r="I28" s="17"/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</row>
    <row r="29" spans="1:15" ht="37.5">
      <c r="A29" s="9" t="s">
        <v>173</v>
      </c>
      <c r="B29" s="3" t="s">
        <v>59</v>
      </c>
      <c r="C29" s="2" t="s">
        <v>10</v>
      </c>
      <c r="D29" s="15"/>
      <c r="E29" s="17">
        <v>85.8</v>
      </c>
      <c r="F29" s="17">
        <v>103.6</v>
      </c>
      <c r="G29" s="17">
        <f>G27</f>
        <v>81</v>
      </c>
      <c r="H29" s="17">
        <v>71.7</v>
      </c>
      <c r="I29" s="17">
        <v>58.44</v>
      </c>
      <c r="J29" s="17">
        <v>75.84</v>
      </c>
      <c r="K29" s="17">
        <v>105.48</v>
      </c>
      <c r="L29" s="17">
        <v>108.05</v>
      </c>
      <c r="M29" s="17">
        <v>112.47</v>
      </c>
      <c r="N29" s="17">
        <v>105.4</v>
      </c>
      <c r="O29" s="17">
        <v>1101.81</v>
      </c>
    </row>
    <row r="30" spans="1:15" ht="37.5">
      <c r="A30" s="5" t="s">
        <v>174</v>
      </c>
      <c r="B30" s="3" t="s">
        <v>60</v>
      </c>
      <c r="C30" s="2" t="s">
        <v>10</v>
      </c>
      <c r="D30" s="1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7.5">
      <c r="A31" s="9" t="s">
        <v>175</v>
      </c>
      <c r="B31" s="3" t="s">
        <v>61</v>
      </c>
      <c r="C31" s="2" t="s">
        <v>10</v>
      </c>
      <c r="D31" s="1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42.75" customHeight="1">
      <c r="A32" s="9" t="s">
        <v>176</v>
      </c>
      <c r="B32" s="3" t="s">
        <v>62</v>
      </c>
      <c r="C32" s="2" t="s">
        <v>10</v>
      </c>
      <c r="D32" s="1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37.5">
      <c r="A33" s="40" t="s">
        <v>177</v>
      </c>
      <c r="B33" s="13" t="s">
        <v>63</v>
      </c>
      <c r="C33" s="2" t="s">
        <v>10</v>
      </c>
      <c r="D33" s="15"/>
      <c r="E33" s="17">
        <v>102.1</v>
      </c>
      <c r="F33" s="17">
        <v>87</v>
      </c>
      <c r="G33" s="17">
        <v>100.4</v>
      </c>
      <c r="H33" s="17">
        <v>88.4</v>
      </c>
      <c r="I33" s="17">
        <v>93.21</v>
      </c>
      <c r="J33" s="17">
        <v>99.82</v>
      </c>
      <c r="K33" s="17">
        <v>102.3</v>
      </c>
      <c r="L33" s="17">
        <v>100.9</v>
      </c>
      <c r="M33" s="17">
        <v>103.6</v>
      </c>
      <c r="N33" s="17">
        <v>101.58</v>
      </c>
      <c r="O33" s="17">
        <v>104.52</v>
      </c>
    </row>
    <row r="34" spans="1:15" ht="37.5">
      <c r="A34" s="9" t="s">
        <v>178</v>
      </c>
      <c r="B34" s="3" t="s">
        <v>64</v>
      </c>
      <c r="C34" s="2" t="s">
        <v>10</v>
      </c>
      <c r="D34" s="15"/>
      <c r="E34" s="17">
        <v>85</v>
      </c>
      <c r="F34" s="17">
        <v>89</v>
      </c>
      <c r="G34" s="17">
        <v>94</v>
      </c>
      <c r="H34" s="17">
        <v>87.8</v>
      </c>
      <c r="I34" s="17">
        <v>92.1</v>
      </c>
      <c r="J34" s="17">
        <v>100</v>
      </c>
      <c r="K34" s="17">
        <v>100.6</v>
      </c>
      <c r="L34" s="17">
        <v>100.1</v>
      </c>
      <c r="M34" s="17">
        <v>104</v>
      </c>
      <c r="N34" s="17">
        <v>100.8</v>
      </c>
      <c r="O34" s="17">
        <v>104.6</v>
      </c>
    </row>
    <row r="35" spans="1:15" ht="37.5">
      <c r="A35" s="9" t="s">
        <v>179</v>
      </c>
      <c r="B35" s="3" t="s">
        <v>65</v>
      </c>
      <c r="C35" s="2" t="s">
        <v>10</v>
      </c>
      <c r="D35" s="15"/>
      <c r="E35" s="17"/>
      <c r="F35" s="17">
        <v>123.2</v>
      </c>
      <c r="G35" s="17">
        <v>100</v>
      </c>
      <c r="H35" s="17">
        <v>100.3</v>
      </c>
      <c r="I35" s="17">
        <v>101.2</v>
      </c>
      <c r="J35" s="17">
        <v>102</v>
      </c>
      <c r="K35" s="17">
        <v>103.1</v>
      </c>
      <c r="L35" s="17">
        <v>102.4</v>
      </c>
      <c r="M35" s="17">
        <v>104.8</v>
      </c>
      <c r="N35" s="17">
        <v>104</v>
      </c>
      <c r="O35" s="17">
        <v>105</v>
      </c>
    </row>
    <row r="36" spans="1:15" ht="37.5">
      <c r="A36" s="5" t="s">
        <v>180</v>
      </c>
      <c r="B36" s="3" t="s">
        <v>113</v>
      </c>
      <c r="C36" s="2" t="s">
        <v>10</v>
      </c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37.5">
      <c r="A37" s="9" t="s">
        <v>181</v>
      </c>
      <c r="B37" s="3" t="s">
        <v>66</v>
      </c>
      <c r="C37" s="2" t="s">
        <v>10</v>
      </c>
      <c r="D37" s="15"/>
      <c r="E37" s="17"/>
      <c r="F37" s="17">
        <v>42.7</v>
      </c>
      <c r="G37" s="17">
        <v>126.8</v>
      </c>
      <c r="H37" s="17">
        <v>126.8</v>
      </c>
      <c r="I37" s="17">
        <v>99.7</v>
      </c>
      <c r="J37" s="17">
        <v>99</v>
      </c>
      <c r="K37" s="17">
        <v>101.8</v>
      </c>
      <c r="L37" s="17">
        <v>100.6</v>
      </c>
      <c r="M37" s="17">
        <v>103.5</v>
      </c>
      <c r="N37" s="17">
        <v>101.4</v>
      </c>
      <c r="O37" s="17">
        <v>104.2</v>
      </c>
    </row>
    <row r="38" spans="1:15" ht="37.5">
      <c r="A38" s="9" t="s">
        <v>182</v>
      </c>
      <c r="B38" s="3" t="s">
        <v>67</v>
      </c>
      <c r="C38" s="2" t="s">
        <v>10</v>
      </c>
      <c r="D38" s="15"/>
      <c r="E38" s="17">
        <v>98</v>
      </c>
      <c r="F38" s="17">
        <v>98</v>
      </c>
      <c r="G38" s="17">
        <v>94.2</v>
      </c>
      <c r="H38" s="17">
        <v>100.1</v>
      </c>
      <c r="I38" s="17">
        <v>97.1</v>
      </c>
      <c r="J38" s="17">
        <v>100.1</v>
      </c>
      <c r="K38" s="17">
        <v>102.7</v>
      </c>
      <c r="L38" s="17">
        <v>100.7</v>
      </c>
      <c r="M38" s="17">
        <v>103.9</v>
      </c>
      <c r="N38" s="17">
        <v>101.8</v>
      </c>
      <c r="O38" s="17">
        <v>105.6</v>
      </c>
    </row>
    <row r="39" spans="1:15" ht="37.5">
      <c r="A39" s="9" t="s">
        <v>183</v>
      </c>
      <c r="B39" s="3" t="s">
        <v>68</v>
      </c>
      <c r="C39" s="2" t="s">
        <v>10</v>
      </c>
      <c r="D39" s="15"/>
      <c r="E39" s="17">
        <v>111.4</v>
      </c>
      <c r="F39" s="17">
        <v>122.7</v>
      </c>
      <c r="G39" s="17">
        <v>109.8</v>
      </c>
      <c r="H39" s="17">
        <v>98.9</v>
      </c>
      <c r="I39" s="17">
        <v>90.3</v>
      </c>
      <c r="J39" s="17">
        <v>96.2</v>
      </c>
      <c r="K39" s="17">
        <v>101</v>
      </c>
      <c r="L39" s="17">
        <v>100.3</v>
      </c>
      <c r="M39" s="17">
        <v>102.9</v>
      </c>
      <c r="N39" s="17">
        <v>101</v>
      </c>
      <c r="O39" s="17">
        <v>103.9</v>
      </c>
    </row>
    <row r="40" spans="1:15" ht="64.5" customHeight="1">
      <c r="A40" s="9" t="s">
        <v>184</v>
      </c>
      <c r="B40" s="3" t="s">
        <v>69</v>
      </c>
      <c r="C40" s="2" t="s">
        <v>10</v>
      </c>
      <c r="D40" s="15"/>
      <c r="E40" s="17">
        <v>54.3</v>
      </c>
      <c r="F40" s="17">
        <v>108.6</v>
      </c>
      <c r="G40" s="17">
        <v>102</v>
      </c>
      <c r="H40" s="17">
        <v>39.5</v>
      </c>
      <c r="I40" s="17">
        <v>67.1</v>
      </c>
      <c r="J40" s="17">
        <v>96.3</v>
      </c>
      <c r="K40" s="17">
        <v>101.2</v>
      </c>
      <c r="L40" s="17">
        <v>100.5</v>
      </c>
      <c r="M40" s="17">
        <v>103</v>
      </c>
      <c r="N40" s="17">
        <v>102</v>
      </c>
      <c r="O40" s="17">
        <v>105.1</v>
      </c>
    </row>
    <row r="41" spans="1:15" ht="37.5">
      <c r="A41" s="5" t="s">
        <v>185</v>
      </c>
      <c r="B41" s="3" t="s">
        <v>70</v>
      </c>
      <c r="C41" s="2" t="s">
        <v>10</v>
      </c>
      <c r="D41" s="15"/>
      <c r="E41" s="17"/>
      <c r="F41" s="17">
        <v>107</v>
      </c>
      <c r="G41" s="17">
        <v>44.9</v>
      </c>
      <c r="H41" s="17">
        <v>94.7</v>
      </c>
      <c r="I41" s="17">
        <v>102.4</v>
      </c>
      <c r="J41" s="17">
        <v>103</v>
      </c>
      <c r="K41" s="17">
        <v>104.2</v>
      </c>
      <c r="L41" s="17">
        <v>101.1</v>
      </c>
      <c r="M41" s="17">
        <v>105.1</v>
      </c>
      <c r="N41" s="17">
        <v>101.5</v>
      </c>
      <c r="O41" s="17">
        <v>106.2</v>
      </c>
    </row>
    <row r="42" spans="1:15" ht="37.5">
      <c r="A42" s="9" t="s">
        <v>186</v>
      </c>
      <c r="B42" s="3" t="s">
        <v>71</v>
      </c>
      <c r="C42" s="2" t="s">
        <v>10</v>
      </c>
      <c r="D42" s="15"/>
      <c r="E42" s="17"/>
      <c r="F42" s="17"/>
      <c r="G42" s="17">
        <v>1.3</v>
      </c>
      <c r="H42" s="17">
        <v>144.2</v>
      </c>
      <c r="I42" s="17">
        <v>95.7</v>
      </c>
      <c r="J42" s="17">
        <v>101.1</v>
      </c>
      <c r="K42" s="17">
        <v>102.6</v>
      </c>
      <c r="L42" s="17">
        <v>101.9</v>
      </c>
      <c r="M42" s="17">
        <v>102</v>
      </c>
      <c r="N42" s="17">
        <v>102.5</v>
      </c>
      <c r="O42" s="17">
        <v>103.5</v>
      </c>
    </row>
    <row r="43" spans="1:15" ht="37.5">
      <c r="A43" s="9" t="s">
        <v>187</v>
      </c>
      <c r="B43" s="3" t="s">
        <v>115</v>
      </c>
      <c r="C43" s="2" t="s">
        <v>10</v>
      </c>
      <c r="D43" s="15"/>
      <c r="E43" s="17"/>
      <c r="F43" s="17">
        <v>107.2</v>
      </c>
      <c r="G43" s="17">
        <v>122</v>
      </c>
      <c r="H43" s="17">
        <v>64.1</v>
      </c>
      <c r="I43" s="17">
        <v>100.7</v>
      </c>
      <c r="J43" s="17">
        <v>99.8</v>
      </c>
      <c r="K43" s="17">
        <v>102</v>
      </c>
      <c r="L43" s="17">
        <v>100.9</v>
      </c>
      <c r="M43" s="17">
        <v>103.5</v>
      </c>
      <c r="N43" s="17">
        <v>102.3</v>
      </c>
      <c r="O43" s="17">
        <v>104.3</v>
      </c>
    </row>
    <row r="44" spans="1:15" ht="37.5">
      <c r="A44" s="5" t="s">
        <v>188</v>
      </c>
      <c r="B44" s="3" t="s">
        <v>72</v>
      </c>
      <c r="C44" s="2" t="s">
        <v>10</v>
      </c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37.5">
      <c r="A45" s="9" t="s">
        <v>189</v>
      </c>
      <c r="B45" s="3" t="s">
        <v>116</v>
      </c>
      <c r="C45" s="2" t="s">
        <v>10</v>
      </c>
      <c r="D45" s="1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37.5">
      <c r="A46" s="9" t="s">
        <v>190</v>
      </c>
      <c r="B46" s="3" t="s">
        <v>73</v>
      </c>
      <c r="C46" s="2" t="s">
        <v>10</v>
      </c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37.5">
      <c r="A47" s="9" t="s">
        <v>191</v>
      </c>
      <c r="B47" s="3" t="s">
        <v>74</v>
      </c>
      <c r="C47" s="2" t="s">
        <v>10</v>
      </c>
      <c r="D47" s="15"/>
      <c r="E47" s="17"/>
      <c r="F47" s="17">
        <v>75.1</v>
      </c>
      <c r="G47" s="17">
        <v>110.5</v>
      </c>
      <c r="H47" s="17">
        <v>94.8</v>
      </c>
      <c r="I47" s="17">
        <v>98.5</v>
      </c>
      <c r="J47" s="17">
        <v>98.7</v>
      </c>
      <c r="K47" s="17">
        <v>101</v>
      </c>
      <c r="L47" s="17">
        <v>101.4</v>
      </c>
      <c r="M47" s="17">
        <v>103.1</v>
      </c>
      <c r="N47" s="17">
        <v>102.2</v>
      </c>
      <c r="O47" s="17">
        <v>104</v>
      </c>
    </row>
    <row r="48" spans="1:15" ht="37.5">
      <c r="A48" s="5" t="s">
        <v>192</v>
      </c>
      <c r="B48" s="3" t="s">
        <v>75</v>
      </c>
      <c r="C48" s="2" t="s">
        <v>10</v>
      </c>
      <c r="D48" s="1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37.5">
      <c r="A49" s="9" t="s">
        <v>193</v>
      </c>
      <c r="B49" s="3" t="s">
        <v>76</v>
      </c>
      <c r="C49" s="2" t="s">
        <v>10</v>
      </c>
      <c r="D49" s="15"/>
      <c r="E49" s="17">
        <v>97.2</v>
      </c>
      <c r="F49" s="17">
        <v>97.8</v>
      </c>
      <c r="G49" s="17">
        <v>100.1</v>
      </c>
      <c r="H49" s="17">
        <v>3.2</v>
      </c>
      <c r="I49" s="17">
        <v>89.8</v>
      </c>
      <c r="J49" s="17">
        <v>93.2</v>
      </c>
      <c r="K49" s="17">
        <v>102.2</v>
      </c>
      <c r="L49" s="17">
        <v>100.1</v>
      </c>
      <c r="M49" s="17">
        <v>103</v>
      </c>
      <c r="N49" s="17">
        <v>100.7</v>
      </c>
      <c r="O49" s="17">
        <v>104.1</v>
      </c>
    </row>
    <row r="50" spans="1:15" ht="37.5">
      <c r="A50" s="9" t="s">
        <v>194</v>
      </c>
      <c r="B50" s="3" t="s">
        <v>121</v>
      </c>
      <c r="C50" s="2" t="s">
        <v>10</v>
      </c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37.5">
      <c r="A51" s="5" t="s">
        <v>195</v>
      </c>
      <c r="B51" s="3" t="s">
        <v>77</v>
      </c>
      <c r="C51" s="2" t="s">
        <v>10</v>
      </c>
      <c r="D51" s="15"/>
      <c r="E51" s="17">
        <v>112.3</v>
      </c>
      <c r="F51" s="17">
        <v>69.5</v>
      </c>
      <c r="G51" s="17">
        <v>101.9</v>
      </c>
      <c r="H51" s="17">
        <v>122</v>
      </c>
      <c r="I51" s="17">
        <v>100.6</v>
      </c>
      <c r="J51" s="17">
        <v>99.4</v>
      </c>
      <c r="K51" s="17">
        <v>102.5</v>
      </c>
      <c r="L51" s="17">
        <v>100.6</v>
      </c>
      <c r="M51" s="17">
        <v>103.5</v>
      </c>
      <c r="N51" s="17">
        <v>101.4</v>
      </c>
      <c r="O51" s="17">
        <v>104.5</v>
      </c>
    </row>
    <row r="52" spans="1:15" ht="37.5">
      <c r="A52" s="9" t="s">
        <v>196</v>
      </c>
      <c r="B52" s="3" t="s">
        <v>78</v>
      </c>
      <c r="C52" s="2" t="s">
        <v>10</v>
      </c>
      <c r="D52" s="1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37.5">
      <c r="A53" s="9" t="s">
        <v>197</v>
      </c>
      <c r="B53" s="3" t="s">
        <v>79</v>
      </c>
      <c r="C53" s="2" t="s">
        <v>10</v>
      </c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37.5">
      <c r="A54" s="9" t="s">
        <v>198</v>
      </c>
      <c r="B54" s="3" t="s">
        <v>80</v>
      </c>
      <c r="C54" s="2" t="s">
        <v>10</v>
      </c>
      <c r="D54" s="15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37.5">
      <c r="A55" s="5" t="s">
        <v>199</v>
      </c>
      <c r="B55" s="3" t="s">
        <v>81</v>
      </c>
      <c r="C55" s="2" t="s">
        <v>10</v>
      </c>
      <c r="D55" s="15"/>
      <c r="E55" s="17"/>
      <c r="F55" s="17">
        <v>107.1</v>
      </c>
      <c r="G55" s="17">
        <v>101.6</v>
      </c>
      <c r="H55" s="17">
        <v>82.9</v>
      </c>
      <c r="I55" s="17">
        <v>85.7</v>
      </c>
      <c r="J55" s="17">
        <v>98.9</v>
      </c>
      <c r="K55" s="17">
        <v>101.9</v>
      </c>
      <c r="L55" s="17">
        <v>100.8</v>
      </c>
      <c r="M55" s="17">
        <v>102.9</v>
      </c>
      <c r="N55" s="17">
        <v>101.6</v>
      </c>
      <c r="O55" s="17">
        <v>104.7</v>
      </c>
    </row>
    <row r="56" spans="1:15" ht="37.5">
      <c r="A56" s="9" t="s">
        <v>200</v>
      </c>
      <c r="B56" s="3" t="s">
        <v>117</v>
      </c>
      <c r="C56" s="2" t="s">
        <v>10</v>
      </c>
      <c r="D56" s="15"/>
      <c r="E56" s="17"/>
      <c r="F56" s="17">
        <v>192</v>
      </c>
      <c r="G56" s="17">
        <v>108.3</v>
      </c>
      <c r="H56" s="17">
        <v>77.5</v>
      </c>
      <c r="I56" s="17">
        <v>89.6</v>
      </c>
      <c r="J56" s="17">
        <v>98</v>
      </c>
      <c r="K56" s="17">
        <v>101.3</v>
      </c>
      <c r="L56" s="17">
        <v>100.1</v>
      </c>
      <c r="M56" s="17">
        <v>103.2</v>
      </c>
      <c r="N56" s="17">
        <v>100.8</v>
      </c>
      <c r="O56" s="17">
        <v>104.1</v>
      </c>
    </row>
    <row r="57" spans="1:15" ht="37.5">
      <c r="A57" s="9" t="s">
        <v>201</v>
      </c>
      <c r="B57" s="3" t="s">
        <v>82</v>
      </c>
      <c r="C57" s="2" t="s">
        <v>10</v>
      </c>
      <c r="D57" s="15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39">
      <c r="A58" s="5" t="s">
        <v>202</v>
      </c>
      <c r="B58" s="13" t="s">
        <v>83</v>
      </c>
      <c r="C58" s="2" t="s">
        <v>10</v>
      </c>
      <c r="D58" s="15"/>
      <c r="E58" s="17">
        <v>96</v>
      </c>
      <c r="F58" s="17">
        <v>127.2</v>
      </c>
      <c r="G58" s="17">
        <v>100.1</v>
      </c>
      <c r="H58" s="17">
        <v>108.5</v>
      </c>
      <c r="I58" s="17">
        <v>112</v>
      </c>
      <c r="J58" s="17">
        <v>127.05</v>
      </c>
      <c r="K58" s="17">
        <v>127.05</v>
      </c>
      <c r="L58" s="17">
        <v>129.01</v>
      </c>
      <c r="M58" s="17">
        <v>103.34</v>
      </c>
      <c r="N58" s="17">
        <v>100.36</v>
      </c>
      <c r="O58" s="17">
        <v>100.49</v>
      </c>
    </row>
    <row r="59" spans="1:15" ht="58.5">
      <c r="A59" s="9" t="s">
        <v>203</v>
      </c>
      <c r="B59" s="13" t="s">
        <v>84</v>
      </c>
      <c r="C59" s="2" t="s">
        <v>10</v>
      </c>
      <c r="D59" s="15"/>
      <c r="E59" s="17">
        <v>100.1</v>
      </c>
      <c r="F59" s="17">
        <v>105.1</v>
      </c>
      <c r="G59" s="17">
        <v>108.7</v>
      </c>
      <c r="H59" s="17">
        <v>114.5</v>
      </c>
      <c r="I59" s="17">
        <v>102.8</v>
      </c>
      <c r="J59" s="17">
        <v>100.6</v>
      </c>
      <c r="K59" s="17">
        <v>101.5</v>
      </c>
      <c r="L59" s="17">
        <v>101.2</v>
      </c>
      <c r="M59" s="17">
        <v>102</v>
      </c>
      <c r="N59" s="17">
        <v>101.8</v>
      </c>
      <c r="O59" s="17">
        <v>100.5</v>
      </c>
    </row>
    <row r="60" spans="1:15" s="124" customFormat="1" ht="18.75">
      <c r="A60" s="123" t="s">
        <v>204</v>
      </c>
      <c r="B60" s="7" t="s">
        <v>0</v>
      </c>
      <c r="C60" s="8" t="s">
        <v>1</v>
      </c>
      <c r="D60" s="17">
        <v>163.8</v>
      </c>
      <c r="E60" s="17">
        <v>164.63</v>
      </c>
      <c r="F60" s="17">
        <v>198</v>
      </c>
      <c r="G60" s="17">
        <v>198.1</v>
      </c>
      <c r="H60" s="17">
        <v>198.6</v>
      </c>
      <c r="I60" s="17">
        <v>198.2</v>
      </c>
      <c r="J60" s="17">
        <v>198.7</v>
      </c>
      <c r="K60" s="17">
        <v>198.8</v>
      </c>
      <c r="L60" s="17">
        <v>199.3</v>
      </c>
      <c r="M60" s="17">
        <v>199.5</v>
      </c>
      <c r="N60" s="17">
        <v>200.4</v>
      </c>
      <c r="O60" s="17">
        <v>201.1</v>
      </c>
    </row>
    <row r="61" spans="1:15" ht="37.5">
      <c r="A61" s="5" t="s">
        <v>205</v>
      </c>
      <c r="B61" s="3" t="s">
        <v>3</v>
      </c>
      <c r="C61" s="2" t="s">
        <v>4</v>
      </c>
      <c r="D61" s="17">
        <f>(7824+4170)/2</f>
        <v>5997</v>
      </c>
      <c r="E61" s="17">
        <f>(8268.35+4380)/2</f>
        <v>6324.175</v>
      </c>
      <c r="F61" s="17">
        <v>6673</v>
      </c>
      <c r="G61" s="17">
        <v>7235</v>
      </c>
      <c r="H61" s="17">
        <v>7835</v>
      </c>
      <c r="I61" s="17">
        <f>H61*1.04</f>
        <v>8148.400000000001</v>
      </c>
      <c r="J61" s="17">
        <f>H61*1.05</f>
        <v>8226.75</v>
      </c>
      <c r="K61" s="17">
        <f>J61</f>
        <v>8226.75</v>
      </c>
      <c r="L61" s="17">
        <f>K61*1.05</f>
        <v>8638.0875</v>
      </c>
      <c r="M61" s="17">
        <f>L61</f>
        <v>8638.0875</v>
      </c>
      <c r="N61" s="17">
        <f>M61*1.05</f>
        <v>9069.991875</v>
      </c>
      <c r="O61" s="17">
        <f>N61</f>
        <v>9069.991875</v>
      </c>
    </row>
    <row r="62" spans="1:15" ht="56.25">
      <c r="A62" s="9" t="s">
        <v>206</v>
      </c>
      <c r="B62" s="3" t="s">
        <v>85</v>
      </c>
      <c r="C62" s="2" t="s">
        <v>5</v>
      </c>
      <c r="D62" s="17">
        <v>105</v>
      </c>
      <c r="E62" s="17">
        <v>105</v>
      </c>
      <c r="F62" s="17">
        <f>F61/E61*100</f>
        <v>105.51573920709025</v>
      </c>
      <c r="G62" s="17">
        <f>G61/F61*100</f>
        <v>108.4219991008542</v>
      </c>
      <c r="H62" s="17">
        <f>H61/G61*100</f>
        <v>108.2930200414651</v>
      </c>
      <c r="I62" s="17">
        <f>I61/H61*100</f>
        <v>104</v>
      </c>
      <c r="J62" s="29">
        <f>J61/H61*100</f>
        <v>105</v>
      </c>
      <c r="K62" s="29">
        <f>J62</f>
        <v>105</v>
      </c>
      <c r="L62" s="29">
        <f>L61/J61*100</f>
        <v>105</v>
      </c>
      <c r="M62" s="29">
        <f>L62</f>
        <v>105</v>
      </c>
      <c r="N62" s="29">
        <f>N61/L61*100</f>
        <v>105</v>
      </c>
      <c r="O62" s="29">
        <f>N62</f>
        <v>105</v>
      </c>
    </row>
    <row r="63" spans="1:15" s="106" customFormat="1" ht="18.75">
      <c r="A63" s="104">
        <v>3</v>
      </c>
      <c r="B63" s="99" t="s">
        <v>109</v>
      </c>
      <c r="C63" s="100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6" s="32" customFormat="1" ht="44.25" customHeight="1">
      <c r="A64" s="33" t="s">
        <v>207</v>
      </c>
      <c r="B64" s="36" t="s">
        <v>6</v>
      </c>
      <c r="C64" s="38" t="s">
        <v>139</v>
      </c>
      <c r="D64" s="31"/>
      <c r="E64" s="102">
        <f>E67+E70</f>
        <v>102.69999999999999</v>
      </c>
      <c r="F64" s="95">
        <f aca="true" t="shared" si="0" ref="F64:O64">F67+F70</f>
        <v>61.5</v>
      </c>
      <c r="G64" s="130">
        <v>168.2</v>
      </c>
      <c r="H64" s="130">
        <v>93</v>
      </c>
      <c r="I64" s="130">
        <v>84.9</v>
      </c>
      <c r="J64" s="130">
        <f>J67+J70</f>
        <v>97.52000000000001</v>
      </c>
      <c r="K64" s="130">
        <f>K67+K70</f>
        <v>98.1</v>
      </c>
      <c r="L64" s="130">
        <f t="shared" si="0"/>
        <v>100.4</v>
      </c>
      <c r="M64" s="130">
        <f t="shared" si="0"/>
        <v>101.4</v>
      </c>
      <c r="N64" s="130">
        <f t="shared" si="0"/>
        <v>103.4</v>
      </c>
      <c r="O64" s="130">
        <f t="shared" si="0"/>
        <v>104.4</v>
      </c>
      <c r="P64" s="118"/>
    </row>
    <row r="65" spans="1:16" s="97" customFormat="1" ht="44.25" customHeight="1">
      <c r="A65" s="95" t="s">
        <v>208</v>
      </c>
      <c r="B65" s="96" t="s">
        <v>7</v>
      </c>
      <c r="C65" s="43" t="s">
        <v>140</v>
      </c>
      <c r="D65" s="42"/>
      <c r="E65" s="102">
        <v>100.1</v>
      </c>
      <c r="F65" s="17">
        <f>(F64/E64/F66)*10000</f>
        <v>59.4078916863727</v>
      </c>
      <c r="G65" s="131">
        <v>115.4</v>
      </c>
      <c r="H65" s="131">
        <v>50.3</v>
      </c>
      <c r="I65" s="131">
        <f>I64/H64*100</f>
        <v>91.29032258064517</v>
      </c>
      <c r="J65" s="131">
        <f>(I65/H64/J66)*10000</f>
        <v>94.11470487391124</v>
      </c>
      <c r="K65" s="131">
        <v>95.2</v>
      </c>
      <c r="L65" s="131">
        <v>96.5</v>
      </c>
      <c r="M65" s="131">
        <v>97.2</v>
      </c>
      <c r="N65" s="131">
        <v>98.3</v>
      </c>
      <c r="O65" s="131">
        <v>100.1</v>
      </c>
      <c r="P65" s="118"/>
    </row>
    <row r="66" spans="1:16" s="97" customFormat="1" ht="44.25" customHeight="1" hidden="1">
      <c r="A66" s="95"/>
      <c r="B66" s="96" t="s">
        <v>325</v>
      </c>
      <c r="C66" s="43"/>
      <c r="D66" s="42"/>
      <c r="E66" s="102">
        <v>100.3</v>
      </c>
      <c r="F66" s="95">
        <v>100.8</v>
      </c>
      <c r="G66" s="130">
        <v>106.2</v>
      </c>
      <c r="H66" s="130">
        <v>99.3</v>
      </c>
      <c r="I66" s="130">
        <v>109.7</v>
      </c>
      <c r="J66" s="130">
        <v>104.3</v>
      </c>
      <c r="K66" s="130">
        <v>104.1</v>
      </c>
      <c r="L66" s="130">
        <v>104.4</v>
      </c>
      <c r="M66" s="130">
        <v>104.3</v>
      </c>
      <c r="N66" s="130">
        <v>104.6</v>
      </c>
      <c r="O66" s="130">
        <v>104.6</v>
      </c>
      <c r="P66" s="118"/>
    </row>
    <row r="67" spans="1:16" s="32" customFormat="1" ht="44.25" customHeight="1">
      <c r="A67" s="33" t="s">
        <v>209</v>
      </c>
      <c r="B67" s="36" t="s">
        <v>141</v>
      </c>
      <c r="C67" s="38" t="s">
        <v>139</v>
      </c>
      <c r="D67" s="31"/>
      <c r="E67" s="102">
        <v>57.8</v>
      </c>
      <c r="F67" s="95">
        <v>18.2</v>
      </c>
      <c r="G67" s="130">
        <v>109.6</v>
      </c>
      <c r="H67" s="130">
        <v>30.7</v>
      </c>
      <c r="I67" s="130">
        <v>55.685</v>
      </c>
      <c r="J67" s="130">
        <v>56</v>
      </c>
      <c r="K67" s="130">
        <v>56.5</v>
      </c>
      <c r="L67" s="130">
        <v>57</v>
      </c>
      <c r="M67" s="130">
        <v>57.8</v>
      </c>
      <c r="N67" s="130">
        <v>58</v>
      </c>
      <c r="O67" s="130">
        <v>58.2</v>
      </c>
      <c r="P67" s="118"/>
    </row>
    <row r="68" spans="1:16" s="97" customFormat="1" ht="44.25" customHeight="1">
      <c r="A68" s="95" t="s">
        <v>210</v>
      </c>
      <c r="B68" s="96" t="s">
        <v>142</v>
      </c>
      <c r="C68" s="43" t="s">
        <v>140</v>
      </c>
      <c r="D68" s="42"/>
      <c r="E68" s="102">
        <v>108</v>
      </c>
      <c r="F68" s="17">
        <f>(F67/E67/F69)*10000</f>
        <v>31.11451509224941</v>
      </c>
      <c r="G68" s="131">
        <v>187.7</v>
      </c>
      <c r="H68" s="131">
        <v>238</v>
      </c>
      <c r="I68" s="131">
        <v>168.84</v>
      </c>
      <c r="J68" s="131">
        <f>(J67/I67/J69)*10000</f>
        <v>145.7473651609142</v>
      </c>
      <c r="K68" s="131">
        <f>(K67/I67/K69)*10000</f>
        <v>114.00403352323919</v>
      </c>
      <c r="L68" s="131">
        <f>(L67/J67/L69)*10000</f>
        <v>99.78991596638654</v>
      </c>
      <c r="M68" s="131">
        <f>(M67/K67/M69)*10000</f>
        <v>90.5317565980108</v>
      </c>
      <c r="N68" s="131">
        <f>(N67/L67/N69)*10000</f>
        <v>85.5078873654725</v>
      </c>
      <c r="O68" s="131">
        <f>(O67/M67/O69)*10000</f>
        <v>83.91003460207612</v>
      </c>
      <c r="P68" s="118"/>
    </row>
    <row r="69" spans="1:16" s="97" customFormat="1" ht="44.25" customHeight="1" hidden="1">
      <c r="A69" s="95"/>
      <c r="B69" s="96" t="s">
        <v>325</v>
      </c>
      <c r="C69" s="43"/>
      <c r="D69" s="42"/>
      <c r="E69" s="102">
        <v>100.06</v>
      </c>
      <c r="F69" s="95">
        <v>101.2</v>
      </c>
      <c r="G69" s="130">
        <v>108.1</v>
      </c>
      <c r="H69" s="130">
        <v>99</v>
      </c>
      <c r="I69" s="130">
        <v>107.4</v>
      </c>
      <c r="J69" s="130">
        <v>69</v>
      </c>
      <c r="K69" s="130">
        <v>89</v>
      </c>
      <c r="L69" s="130">
        <v>102</v>
      </c>
      <c r="M69" s="130">
        <v>113</v>
      </c>
      <c r="N69" s="130">
        <v>119</v>
      </c>
      <c r="O69" s="130">
        <v>120</v>
      </c>
      <c r="P69" s="118"/>
    </row>
    <row r="70" spans="1:16" s="32" customFormat="1" ht="44.25" customHeight="1">
      <c r="A70" s="33" t="s">
        <v>211</v>
      </c>
      <c r="B70" s="36" t="s">
        <v>143</v>
      </c>
      <c r="C70" s="38" t="s">
        <v>139</v>
      </c>
      <c r="D70" s="31"/>
      <c r="E70" s="102">
        <v>44.9</v>
      </c>
      <c r="F70" s="95">
        <v>43.3</v>
      </c>
      <c r="G70" s="130">
        <v>58.6</v>
      </c>
      <c r="H70" s="130">
        <v>62.3</v>
      </c>
      <c r="I70" s="130">
        <v>29.29</v>
      </c>
      <c r="J70" s="130">
        <v>41.52</v>
      </c>
      <c r="K70" s="130">
        <v>41.6</v>
      </c>
      <c r="L70" s="130">
        <v>43.4</v>
      </c>
      <c r="M70" s="130">
        <v>43.6</v>
      </c>
      <c r="N70" s="130">
        <v>45.4</v>
      </c>
      <c r="O70" s="130">
        <v>46.2</v>
      </c>
      <c r="P70" s="118"/>
    </row>
    <row r="71" spans="1:16" s="97" customFormat="1" ht="44.25" customHeight="1">
      <c r="A71" s="95" t="s">
        <v>212</v>
      </c>
      <c r="B71" s="96" t="s">
        <v>144</v>
      </c>
      <c r="C71" s="43" t="s">
        <v>140</v>
      </c>
      <c r="D71" s="42"/>
      <c r="E71" s="103">
        <v>96.7</v>
      </c>
      <c r="F71" s="29">
        <f>(F70/E70/F72)*10000</f>
        <v>96.14808136836706</v>
      </c>
      <c r="G71" s="131">
        <v>70.3</v>
      </c>
      <c r="H71" s="131">
        <f>(H70/G70/H72)*10000</f>
        <v>106.63389485863733</v>
      </c>
      <c r="I71" s="131">
        <f>(I70/H70/I72)*10000</f>
        <v>41.86504561703417</v>
      </c>
      <c r="J71" s="131">
        <f>(J70/H70/J72)*10000</f>
        <v>82.0754493195961</v>
      </c>
      <c r="K71" s="131">
        <f>(K70/H70/K72)*10000</f>
        <v>90.23469697627</v>
      </c>
      <c r="L71" s="131">
        <f>(L70/J70/L72)*10000</f>
        <v>100.70128934775263</v>
      </c>
      <c r="M71" s="131">
        <f>(M70/K70/M72)*10000</f>
        <v>101.16572616572618</v>
      </c>
      <c r="N71" s="131">
        <f>(N70/L70/N72)*10000</f>
        <v>100.97325765528532</v>
      </c>
      <c r="O71" s="131">
        <f>(O70/M70/O72)*10000</f>
        <v>101.88779110797459</v>
      </c>
      <c r="P71" s="118"/>
    </row>
    <row r="72" spans="1:15" s="97" customFormat="1" ht="44.25" customHeight="1" hidden="1">
      <c r="A72" s="95"/>
      <c r="B72" s="96" t="s">
        <v>325</v>
      </c>
      <c r="C72" s="43"/>
      <c r="D72" s="42"/>
      <c r="E72" s="95">
        <v>98.9</v>
      </c>
      <c r="F72" s="95">
        <v>100.3</v>
      </c>
      <c r="G72" s="95">
        <v>104.3</v>
      </c>
      <c r="H72" s="95">
        <v>99.7</v>
      </c>
      <c r="I72" s="95">
        <v>112.3</v>
      </c>
      <c r="J72" s="95">
        <v>81.2</v>
      </c>
      <c r="K72" s="95">
        <v>74</v>
      </c>
      <c r="L72" s="95">
        <v>103.8</v>
      </c>
      <c r="M72" s="95">
        <v>103.6</v>
      </c>
      <c r="N72" s="95">
        <v>103.6</v>
      </c>
      <c r="O72" s="95">
        <v>104</v>
      </c>
    </row>
    <row r="73" spans="1:15" s="106" customFormat="1" ht="18.75">
      <c r="A73" s="114">
        <v>4</v>
      </c>
      <c r="B73" s="99" t="s">
        <v>51</v>
      </c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1:16" ht="37.5">
      <c r="A74" s="9" t="s">
        <v>213</v>
      </c>
      <c r="B74" s="3" t="s">
        <v>86</v>
      </c>
      <c r="C74" s="10" t="s">
        <v>9</v>
      </c>
      <c r="D74" s="15">
        <v>1107.3</v>
      </c>
      <c r="E74" s="15">
        <v>1597.1</v>
      </c>
      <c r="F74" s="15">
        <v>1602</v>
      </c>
      <c r="G74" s="17">
        <v>1708</v>
      </c>
      <c r="H74" s="15">
        <v>1637.2</v>
      </c>
      <c r="I74" s="15">
        <v>1754</v>
      </c>
      <c r="J74" s="15">
        <v>1866</v>
      </c>
      <c r="K74" s="15">
        <v>1895</v>
      </c>
      <c r="L74" s="15">
        <v>1902</v>
      </c>
      <c r="M74" s="15">
        <v>1956</v>
      </c>
      <c r="N74" s="15">
        <v>1972</v>
      </c>
      <c r="O74" s="15">
        <v>2092</v>
      </c>
      <c r="P74" s="117"/>
    </row>
    <row r="75" spans="1:16" ht="37.5">
      <c r="A75" s="9" t="s">
        <v>214</v>
      </c>
      <c r="B75" s="36" t="s">
        <v>145</v>
      </c>
      <c r="C75" s="2" t="s">
        <v>10</v>
      </c>
      <c r="D75" s="15">
        <v>75.1</v>
      </c>
      <c r="E75" s="15">
        <f>(E74/D74/E76)*10000</f>
        <v>136.0695487408604</v>
      </c>
      <c r="F75" s="15">
        <f>(F74/E74/F76)*10000</f>
        <v>95.3486749867214</v>
      </c>
      <c r="G75" s="17">
        <f>(G74/E74/G76)*10000</f>
        <v>103.62774777345955</v>
      </c>
      <c r="H75" s="15">
        <f>(H74/F74/H76)*10000</f>
        <v>98.45592816301397</v>
      </c>
      <c r="I75" s="15">
        <f>(I74/H74/I76)*10000</f>
        <v>103.41132378757592</v>
      </c>
      <c r="J75" s="15">
        <f>(J74/H74/J76)*10000</f>
        <v>109.38107428393496</v>
      </c>
      <c r="K75" s="15">
        <f>(K74/H74/K76)*10000</f>
        <v>107.17258915402086</v>
      </c>
      <c r="L75" s="15">
        <f>(L74/J74/L76)*10000</f>
        <v>92.57880149878363</v>
      </c>
      <c r="M75" s="15">
        <f>(M74/K74/M76)*10000</f>
        <v>97.37641260516752</v>
      </c>
      <c r="N75" s="15">
        <f>(N74/L74/N76)*10000</f>
        <v>101.64738871363477</v>
      </c>
      <c r="O75" s="15">
        <f>(O74/M74/O76)*10000</f>
        <v>105.89402498532061</v>
      </c>
      <c r="P75" s="117"/>
    </row>
    <row r="76" spans="1:16" ht="18.75">
      <c r="A76" s="9" t="s">
        <v>215</v>
      </c>
      <c r="B76" s="3" t="s">
        <v>87</v>
      </c>
      <c r="C76" s="2" t="s">
        <v>33</v>
      </c>
      <c r="D76" s="15">
        <v>114.6</v>
      </c>
      <c r="E76" s="15">
        <v>106</v>
      </c>
      <c r="F76" s="15">
        <v>105.2</v>
      </c>
      <c r="G76" s="17">
        <v>103.2</v>
      </c>
      <c r="H76" s="15">
        <v>103.8</v>
      </c>
      <c r="I76" s="15">
        <v>103.6</v>
      </c>
      <c r="J76" s="15">
        <v>104.2</v>
      </c>
      <c r="K76" s="15">
        <v>108</v>
      </c>
      <c r="L76" s="15">
        <v>110.1</v>
      </c>
      <c r="M76" s="15">
        <v>106</v>
      </c>
      <c r="N76" s="15">
        <v>102</v>
      </c>
      <c r="O76" s="15">
        <v>101</v>
      </c>
      <c r="P76" s="117"/>
    </row>
    <row r="77" spans="1:16" ht="47.25" customHeight="1">
      <c r="A77" s="9" t="s">
        <v>216</v>
      </c>
      <c r="B77" s="3" t="s">
        <v>11</v>
      </c>
      <c r="C77" s="10" t="s">
        <v>12</v>
      </c>
      <c r="D77" s="15">
        <v>58.22</v>
      </c>
      <c r="E77" s="15">
        <v>78.3</v>
      </c>
      <c r="F77" s="15">
        <v>79.2</v>
      </c>
      <c r="G77" s="17">
        <v>81.1</v>
      </c>
      <c r="H77" s="16">
        <v>75.99</v>
      </c>
      <c r="I77" s="15">
        <v>71.5</v>
      </c>
      <c r="J77" s="15">
        <v>85</v>
      </c>
      <c r="K77" s="15">
        <v>87</v>
      </c>
      <c r="L77" s="15">
        <v>86</v>
      </c>
      <c r="M77" s="15">
        <v>88</v>
      </c>
      <c r="N77" s="15">
        <v>87</v>
      </c>
      <c r="O77" s="15">
        <v>89</v>
      </c>
      <c r="P77" s="117"/>
    </row>
    <row r="78" spans="1:15" s="106" customFormat="1" ht="27" customHeight="1">
      <c r="A78" s="104">
        <v>5</v>
      </c>
      <c r="B78" s="105" t="s">
        <v>249</v>
      </c>
      <c r="C78" s="100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15" ht="37.5">
      <c r="A79" s="9" t="s">
        <v>217</v>
      </c>
      <c r="B79" s="3" t="s">
        <v>88</v>
      </c>
      <c r="C79" s="2" t="s">
        <v>89</v>
      </c>
      <c r="D79" s="17">
        <v>106.5</v>
      </c>
      <c r="E79" s="17">
        <v>103.3</v>
      </c>
      <c r="F79" s="17">
        <v>104.3</v>
      </c>
      <c r="G79" s="17">
        <v>103.3</v>
      </c>
      <c r="H79" s="29">
        <v>106.34</v>
      </c>
      <c r="I79" s="29">
        <v>106.49</v>
      </c>
      <c r="J79" s="29">
        <v>104</v>
      </c>
      <c r="K79" s="29">
        <v>104</v>
      </c>
      <c r="L79" s="29">
        <v>104</v>
      </c>
      <c r="M79" s="29">
        <v>104</v>
      </c>
      <c r="N79" s="29">
        <v>104</v>
      </c>
      <c r="O79" s="29">
        <v>104</v>
      </c>
    </row>
    <row r="80" spans="1:15" ht="41.25" customHeight="1">
      <c r="A80" s="9" t="s">
        <v>218</v>
      </c>
      <c r="B80" s="30" t="s">
        <v>329</v>
      </c>
      <c r="C80" s="2" t="s">
        <v>57</v>
      </c>
      <c r="D80" s="15">
        <v>106.6</v>
      </c>
      <c r="E80" s="17">
        <v>104.2</v>
      </c>
      <c r="F80" s="17">
        <v>102.9</v>
      </c>
      <c r="G80" s="17">
        <v>104.7</v>
      </c>
      <c r="H80" s="29">
        <v>104.04</v>
      </c>
      <c r="I80" s="29">
        <v>105.8</v>
      </c>
      <c r="J80" s="29">
        <v>104</v>
      </c>
      <c r="K80" s="29">
        <v>104</v>
      </c>
      <c r="L80" s="29">
        <v>104</v>
      </c>
      <c r="M80" s="29">
        <v>104</v>
      </c>
      <c r="N80" s="29">
        <v>104</v>
      </c>
      <c r="O80" s="29">
        <v>104</v>
      </c>
    </row>
    <row r="81" spans="1:15" ht="48.75" customHeight="1">
      <c r="A81" s="9" t="s">
        <v>219</v>
      </c>
      <c r="B81" s="3" t="s">
        <v>331</v>
      </c>
      <c r="C81" s="11" t="s">
        <v>90</v>
      </c>
      <c r="D81" s="22">
        <v>12.531</v>
      </c>
      <c r="E81" s="23">
        <v>12.881</v>
      </c>
      <c r="F81" s="22">
        <v>6.013</v>
      </c>
      <c r="G81" s="23">
        <v>5.89</v>
      </c>
      <c r="H81" s="23">
        <v>7.317</v>
      </c>
      <c r="I81" s="23">
        <v>8.92</v>
      </c>
      <c r="J81" s="23">
        <f>I81+I81*6.6%</f>
        <v>9.50872</v>
      </c>
      <c r="K81" s="23">
        <f>I81+I81*7.4%</f>
        <v>9.58008</v>
      </c>
      <c r="L81" s="23">
        <f>J81+J81*6.6%</f>
        <v>10.136295520000001</v>
      </c>
      <c r="M81" s="23">
        <f>K81+K81*6.9%</f>
        <v>10.241105520000001</v>
      </c>
      <c r="N81" s="23">
        <f>L81+L81*6.5%</f>
        <v>10.7951547288</v>
      </c>
      <c r="O81" s="23">
        <f>M81+M81*7%</f>
        <v>10.957982906400002</v>
      </c>
    </row>
    <row r="82" spans="1:15" ht="37.5">
      <c r="A82" s="9" t="s">
        <v>220</v>
      </c>
      <c r="B82" s="36" t="s">
        <v>146</v>
      </c>
      <c r="C82" s="38" t="s">
        <v>140</v>
      </c>
      <c r="D82" s="15">
        <v>95.4</v>
      </c>
      <c r="E82" s="15">
        <f>(E81/D81/E83)*10000</f>
        <v>98.46079806371385</v>
      </c>
      <c r="F82" s="15">
        <v>125.8</v>
      </c>
      <c r="G82" s="17">
        <v>93.8</v>
      </c>
      <c r="H82" s="29">
        <f>(H81/G81/H83)*10000</f>
        <v>119.27748847285855</v>
      </c>
      <c r="I82" s="29">
        <f>(I81/H81/I83)*10000</f>
        <v>114.5750805878986</v>
      </c>
      <c r="J82" s="29">
        <f>(J81/I81/J83)*10000</f>
        <v>102.40153698366956</v>
      </c>
      <c r="K82" s="29">
        <f>(K81/I81/K83)*10000</f>
        <v>102.97219558964525</v>
      </c>
      <c r="L82" s="29">
        <f>(L81/J81/L83)*10000</f>
        <v>102.30326295585414</v>
      </c>
      <c r="M82" s="29">
        <f>(M81/K81/M83)*10000</f>
        <v>102.8873917228104</v>
      </c>
      <c r="N82" s="29">
        <f>(N81/L81/N83)*10000</f>
        <v>102.30547550432277</v>
      </c>
      <c r="O82" s="29">
        <f>(O81/M81/O83)*10000</f>
        <v>102.8846153846154</v>
      </c>
    </row>
    <row r="83" spans="1:15" ht="28.5" customHeight="1">
      <c r="A83" s="9" t="s">
        <v>221</v>
      </c>
      <c r="B83" s="36" t="s">
        <v>147</v>
      </c>
      <c r="C83" s="38" t="s">
        <v>57</v>
      </c>
      <c r="D83" s="15">
        <v>106.9</v>
      </c>
      <c r="E83" s="15">
        <v>104.4</v>
      </c>
      <c r="F83" s="15">
        <v>103.3</v>
      </c>
      <c r="G83" s="17">
        <v>104.4</v>
      </c>
      <c r="H83" s="29">
        <v>104.15</v>
      </c>
      <c r="I83" s="29">
        <v>106.4</v>
      </c>
      <c r="J83" s="29">
        <v>104.1</v>
      </c>
      <c r="K83" s="29">
        <v>104.3</v>
      </c>
      <c r="L83" s="29">
        <v>104.2</v>
      </c>
      <c r="M83" s="29">
        <v>103.9</v>
      </c>
      <c r="N83" s="29">
        <v>104.1</v>
      </c>
      <c r="O83" s="29">
        <v>104</v>
      </c>
    </row>
    <row r="84" spans="1:15" ht="27" customHeight="1">
      <c r="A84" s="9" t="s">
        <v>222</v>
      </c>
      <c r="B84" s="36" t="s">
        <v>14</v>
      </c>
      <c r="C84" s="38" t="s">
        <v>328</v>
      </c>
      <c r="D84" s="16">
        <v>3.32</v>
      </c>
      <c r="E84" s="16">
        <v>3.63</v>
      </c>
      <c r="F84" s="16">
        <v>4.05</v>
      </c>
      <c r="G84" s="29">
        <v>4.4</v>
      </c>
      <c r="H84" s="23">
        <v>4.17</v>
      </c>
      <c r="I84" s="23">
        <v>4.55</v>
      </c>
      <c r="J84" s="23">
        <f>I84+I84*6.9%</f>
        <v>4.86395</v>
      </c>
      <c r="K84" s="23">
        <f>I84+I84*8.9%</f>
        <v>4.95495</v>
      </c>
      <c r="L84" s="23">
        <f>J84+J84*6.9%</f>
        <v>5.19956255</v>
      </c>
      <c r="M84" s="23">
        <f>K84+K84*7.2%</f>
        <v>5.3117064</v>
      </c>
      <c r="N84" s="23">
        <f>L84+L84*7.1%</f>
        <v>5.568731491049999</v>
      </c>
      <c r="O84" s="23">
        <f>M84+M84*7.3%</f>
        <v>5.6994609672</v>
      </c>
    </row>
    <row r="85" spans="1:15" ht="37.5">
      <c r="A85" s="9" t="s">
        <v>223</v>
      </c>
      <c r="B85" s="36" t="s">
        <v>148</v>
      </c>
      <c r="C85" s="38" t="s">
        <v>140</v>
      </c>
      <c r="D85" s="15">
        <v>95.4</v>
      </c>
      <c r="E85" s="15">
        <f>(E84/D84/E86)*10000</f>
        <v>103.93284163269047</v>
      </c>
      <c r="F85" s="15">
        <f>(F84/E84/F86)*10000</f>
        <v>107.38233679873369</v>
      </c>
      <c r="G85" s="17">
        <v>103.5</v>
      </c>
      <c r="H85" s="29">
        <f>(H84/G84/H86)*10000</f>
        <v>92.28113658493403</v>
      </c>
      <c r="I85" s="29">
        <f>(I84/H84/I86)*10000</f>
        <v>104.90598003281826</v>
      </c>
      <c r="J85" s="29">
        <f>(J84/I84/J86)*10000</f>
        <v>102.98651252408479</v>
      </c>
      <c r="K85" s="29">
        <f>(K84/I84/K86)*10000</f>
        <v>105.21739130434786</v>
      </c>
      <c r="L85" s="29">
        <f>(L84/J84/L86)*10000</f>
        <v>102.78846153846155</v>
      </c>
      <c r="M85" s="29">
        <f>(M84/K84/M86)*10000</f>
        <v>103.47490347490348</v>
      </c>
      <c r="N85" s="29">
        <f>(N84/L84/N86)*10000</f>
        <v>102.7831094049904</v>
      </c>
      <c r="O85" s="29">
        <f>(O84/M84/O86)*10000</f>
        <v>103.47155255544841</v>
      </c>
    </row>
    <row r="86" spans="1:15" ht="28.5" customHeight="1">
      <c r="A86" s="9" t="s">
        <v>224</v>
      </c>
      <c r="B86" s="36" t="s">
        <v>149</v>
      </c>
      <c r="C86" s="38" t="s">
        <v>57</v>
      </c>
      <c r="D86" s="15">
        <v>100</v>
      </c>
      <c r="E86" s="15">
        <v>105.2</v>
      </c>
      <c r="F86" s="15">
        <v>103.9</v>
      </c>
      <c r="G86" s="17">
        <v>105</v>
      </c>
      <c r="H86" s="29">
        <v>102.7</v>
      </c>
      <c r="I86" s="29">
        <v>104.01</v>
      </c>
      <c r="J86" s="29">
        <v>103.8</v>
      </c>
      <c r="K86" s="29">
        <v>103.5</v>
      </c>
      <c r="L86" s="29">
        <v>104</v>
      </c>
      <c r="M86" s="29">
        <v>103.6</v>
      </c>
      <c r="N86" s="29">
        <v>104.2</v>
      </c>
      <c r="O86" s="29">
        <v>103.7</v>
      </c>
    </row>
    <row r="87" spans="1:15" s="106" customFormat="1" ht="39.75" customHeight="1">
      <c r="A87" s="104">
        <v>6</v>
      </c>
      <c r="B87" s="107" t="s">
        <v>111</v>
      </c>
      <c r="C87" s="100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6" ht="37.5">
      <c r="A88" s="9" t="s">
        <v>225</v>
      </c>
      <c r="B88" s="3" t="s">
        <v>91</v>
      </c>
      <c r="C88" s="2" t="s">
        <v>15</v>
      </c>
      <c r="D88" s="18">
        <v>1044</v>
      </c>
      <c r="E88" s="19">
        <v>1122</v>
      </c>
      <c r="F88" s="19">
        <v>1393</v>
      </c>
      <c r="G88" s="113">
        <v>1308</v>
      </c>
      <c r="H88" s="113">
        <v>1203</v>
      </c>
      <c r="I88" s="113">
        <v>1268</v>
      </c>
      <c r="J88" s="132">
        <f>ROUND(I88+I88*0.2%,0)</f>
        <v>1271</v>
      </c>
      <c r="K88" s="132">
        <f>ROUND(I88+I88*1.9%,0)</f>
        <v>1292</v>
      </c>
      <c r="L88" s="132">
        <f>ROUND(J88+J88*0.2%,0)</f>
        <v>1274</v>
      </c>
      <c r="M88" s="132">
        <f>ROUND(K88+K88*1.9%,0)</f>
        <v>1317</v>
      </c>
      <c r="N88" s="132">
        <f>ROUND(L88+L88*0.2%,0)</f>
        <v>1277</v>
      </c>
      <c r="O88" s="132">
        <f>ROUND(M88+M88*1.9%,0)</f>
        <v>1342</v>
      </c>
      <c r="P88" s="117"/>
    </row>
    <row r="89" spans="1:16" ht="56.25">
      <c r="A89" s="5" t="s">
        <v>226</v>
      </c>
      <c r="B89" s="3" t="s">
        <v>45</v>
      </c>
      <c r="C89" s="10" t="s">
        <v>16</v>
      </c>
      <c r="D89" s="16">
        <v>4.56</v>
      </c>
      <c r="E89" s="16">
        <v>4.64</v>
      </c>
      <c r="F89" s="16">
        <v>8.88</v>
      </c>
      <c r="G89" s="29">
        <v>7.77</v>
      </c>
      <c r="H89" s="29">
        <v>6.27</v>
      </c>
      <c r="I89" s="29">
        <f>ROUND(H89+H89*0.65%,2)</f>
        <v>6.31</v>
      </c>
      <c r="J89" s="29">
        <f>ROUND(I89+I89*0.13%,2)</f>
        <v>6.32</v>
      </c>
      <c r="K89" s="29">
        <f>ROUND(I89+I89*1.81%,2)</f>
        <v>6.42</v>
      </c>
      <c r="L89" s="29">
        <f>ROUND(J89+J89*0.26%,2)</f>
        <v>6.34</v>
      </c>
      <c r="M89" s="29">
        <f>ROUND(K89+K89*2.03%,2)</f>
        <v>6.55</v>
      </c>
      <c r="N89" s="29">
        <f>ROUND(L89+L89*0.13%,2)</f>
        <v>6.35</v>
      </c>
      <c r="O89" s="29">
        <f>ROUND(M89+M89*1.74%,2)</f>
        <v>6.66</v>
      </c>
      <c r="P89" s="117"/>
    </row>
    <row r="90" spans="1:16" ht="37.5">
      <c r="A90" s="5" t="s">
        <v>227</v>
      </c>
      <c r="B90" s="3" t="s">
        <v>44</v>
      </c>
      <c r="C90" s="2" t="s">
        <v>17</v>
      </c>
      <c r="D90" s="16">
        <v>7.97</v>
      </c>
      <c r="E90" s="16">
        <v>9.33</v>
      </c>
      <c r="F90" s="16">
        <v>11.1</v>
      </c>
      <c r="G90" s="29">
        <v>12.67</v>
      </c>
      <c r="H90" s="29">
        <v>12.71</v>
      </c>
      <c r="I90" s="29">
        <v>12.75</v>
      </c>
      <c r="J90" s="29">
        <v>12.76</v>
      </c>
      <c r="K90" s="29">
        <v>12.8</v>
      </c>
      <c r="L90" s="29">
        <v>12.8</v>
      </c>
      <c r="M90" s="29">
        <v>12.85</v>
      </c>
      <c r="N90" s="29">
        <v>12.85</v>
      </c>
      <c r="O90" s="29">
        <v>12.9</v>
      </c>
      <c r="P90" s="117"/>
    </row>
    <row r="91" spans="1:15" s="106" customFormat="1" ht="22.5" customHeight="1">
      <c r="A91" s="104">
        <v>7</v>
      </c>
      <c r="B91" s="99" t="s">
        <v>112</v>
      </c>
      <c r="C91" s="100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1:16" ht="32.25" customHeight="1">
      <c r="A92" s="5" t="s">
        <v>228</v>
      </c>
      <c r="B92" s="4" t="s">
        <v>18</v>
      </c>
      <c r="C92" s="2" t="s">
        <v>20</v>
      </c>
      <c r="D92" s="15">
        <v>2327</v>
      </c>
      <c r="E92" s="15">
        <v>2915.3</v>
      </c>
      <c r="F92" s="15">
        <v>4178.3</v>
      </c>
      <c r="G92" s="29">
        <v>2635.8</v>
      </c>
      <c r="H92" s="29">
        <v>4816.6</v>
      </c>
      <c r="I92" s="29">
        <f>I95</f>
        <v>3745.22848</v>
      </c>
      <c r="J92" s="29">
        <v>3792</v>
      </c>
      <c r="K92" s="29">
        <v>3839</v>
      </c>
      <c r="L92" s="29">
        <v>4011</v>
      </c>
      <c r="M92" s="29">
        <v>4100</v>
      </c>
      <c r="N92" s="29">
        <v>4270</v>
      </c>
      <c r="O92" s="29">
        <v>4443</v>
      </c>
      <c r="P92" s="117"/>
    </row>
    <row r="93" spans="1:16" ht="37.5">
      <c r="A93" s="10" t="s">
        <v>229</v>
      </c>
      <c r="B93" s="36" t="s">
        <v>150</v>
      </c>
      <c r="C93" s="38" t="s">
        <v>140</v>
      </c>
      <c r="D93" s="15">
        <v>83.7</v>
      </c>
      <c r="E93" s="15">
        <f aca="true" t="shared" si="1" ref="E93:J93">(E92/D92/E94)*10000</f>
        <v>120.81145448238966</v>
      </c>
      <c r="F93" s="15">
        <f t="shared" si="1"/>
        <v>136.1093610033113</v>
      </c>
      <c r="G93" s="29">
        <f>(G92/F92/G94)*10000</f>
        <v>59.06654687528152</v>
      </c>
      <c r="H93" s="17">
        <f t="shared" si="1"/>
        <v>173.0470537379256</v>
      </c>
      <c r="I93" s="17">
        <f t="shared" si="1"/>
        <v>73.98352502226976</v>
      </c>
      <c r="J93" s="17">
        <f t="shared" si="1"/>
        <v>96.15273461606276</v>
      </c>
      <c r="K93" s="17">
        <f>(K92/I92/K94)*10000</f>
        <v>97.34450110523865</v>
      </c>
      <c r="L93" s="17">
        <f>(L92/J92/L94)*10000</f>
        <v>100.26096346511488</v>
      </c>
      <c r="M93" s="17">
        <f>(M92/K92/M94)*10000</f>
        <v>101.23094358350133</v>
      </c>
      <c r="N93" s="17">
        <f>(N92/L92/N94)*10000</f>
        <v>100.81178274895554</v>
      </c>
      <c r="O93" s="17">
        <f>(O92/M92/O94)*10000</f>
        <v>102.61917960088694</v>
      </c>
      <c r="P93" s="117"/>
    </row>
    <row r="94" spans="1:16" ht="27" customHeight="1">
      <c r="A94" s="10" t="s">
        <v>230</v>
      </c>
      <c r="B94" s="36" t="s">
        <v>151</v>
      </c>
      <c r="C94" s="38" t="s">
        <v>57</v>
      </c>
      <c r="D94" s="15">
        <v>113.9</v>
      </c>
      <c r="E94" s="15">
        <v>103.7</v>
      </c>
      <c r="F94" s="15">
        <v>105.3</v>
      </c>
      <c r="G94" s="29">
        <v>106.8</v>
      </c>
      <c r="H94" s="29">
        <v>105.6</v>
      </c>
      <c r="I94" s="29">
        <v>105.1</v>
      </c>
      <c r="J94" s="29">
        <v>105.3</v>
      </c>
      <c r="K94" s="29">
        <v>105.3</v>
      </c>
      <c r="L94" s="29">
        <v>105.5</v>
      </c>
      <c r="M94" s="29">
        <v>105.5</v>
      </c>
      <c r="N94" s="29">
        <v>105.6</v>
      </c>
      <c r="O94" s="29">
        <v>105.6</v>
      </c>
      <c r="P94" s="117"/>
    </row>
    <row r="95" spans="1:16" ht="87.75" customHeight="1">
      <c r="A95" s="10" t="s">
        <v>231</v>
      </c>
      <c r="B95" s="39" t="s">
        <v>330</v>
      </c>
      <c r="C95" s="2"/>
      <c r="D95" s="17">
        <f aca="true" t="shared" si="2" ref="D95:O95">D96+D97</f>
        <v>2327</v>
      </c>
      <c r="E95" s="98">
        <f t="shared" si="2"/>
        <v>2915.3</v>
      </c>
      <c r="F95" s="17">
        <f t="shared" si="2"/>
        <v>4178.3</v>
      </c>
      <c r="G95" s="138">
        <f t="shared" si="2"/>
        <v>2635.8</v>
      </c>
      <c r="H95" s="138">
        <f t="shared" si="2"/>
        <v>4816.5</v>
      </c>
      <c r="I95" s="138">
        <f t="shared" si="2"/>
        <v>3745.22848</v>
      </c>
      <c r="J95" s="138">
        <f t="shared" si="2"/>
        <v>3228.1684268280005</v>
      </c>
      <c r="K95" s="138">
        <f t="shared" si="2"/>
        <v>3398.810012074</v>
      </c>
      <c r="L95" s="138">
        <f t="shared" si="2"/>
        <v>3076.952381257644</v>
      </c>
      <c r="M95" s="138">
        <f t="shared" si="2"/>
        <v>3270.1836702458895</v>
      </c>
      <c r="N95" s="138">
        <f t="shared" si="2"/>
        <v>3198.5410467730917</v>
      </c>
      <c r="O95" s="138">
        <f t="shared" si="2"/>
        <v>3462.1917462170177</v>
      </c>
      <c r="P95" s="117"/>
    </row>
    <row r="96" spans="1:16" ht="29.25" customHeight="1">
      <c r="A96" s="10" t="s">
        <v>232</v>
      </c>
      <c r="B96" s="4" t="s">
        <v>19</v>
      </c>
      <c r="C96" s="2" t="s">
        <v>20</v>
      </c>
      <c r="D96" s="15">
        <v>503.5</v>
      </c>
      <c r="E96" s="17">
        <v>615.7</v>
      </c>
      <c r="F96" s="17">
        <v>569.9</v>
      </c>
      <c r="G96" s="29">
        <v>441.1</v>
      </c>
      <c r="H96" s="29">
        <v>1990.8</v>
      </c>
      <c r="I96" s="29">
        <f>H96*59.18/100</f>
        <v>1178.15544</v>
      </c>
      <c r="J96" s="29">
        <f>I96*61.43/100</f>
        <v>723.740886792</v>
      </c>
      <c r="K96" s="29">
        <f>I96*63.08/100</f>
        <v>743.180451552</v>
      </c>
      <c r="L96" s="29">
        <f>J96*67.24/100</f>
        <v>486.6433722789407</v>
      </c>
      <c r="M96" s="29">
        <f>K96*70.82/100</f>
        <v>526.3203957891263</v>
      </c>
      <c r="N96" s="29">
        <f>L96*116.45/100</f>
        <v>566.6962070188265</v>
      </c>
      <c r="O96" s="29">
        <f>M96*111.77/100</f>
        <v>588.2683063735064</v>
      </c>
      <c r="P96" s="117"/>
    </row>
    <row r="97" spans="1:16" ht="29.25" customHeight="1">
      <c r="A97" s="10" t="s">
        <v>233</v>
      </c>
      <c r="B97" s="4" t="s">
        <v>92</v>
      </c>
      <c r="C97" s="2" t="s">
        <v>20</v>
      </c>
      <c r="D97" s="15">
        <f>D100+D101+D105</f>
        <v>1823.4999999999998</v>
      </c>
      <c r="E97" s="17">
        <f>E100+E101+E105</f>
        <v>2299.6</v>
      </c>
      <c r="F97" s="17">
        <f>F100+F101+F105</f>
        <v>3608.4</v>
      </c>
      <c r="G97" s="29">
        <f>G100+G101+G105</f>
        <v>2194.7000000000003</v>
      </c>
      <c r="H97" s="29">
        <f>H100+H101+H105+H98</f>
        <v>2825.7</v>
      </c>
      <c r="I97" s="29">
        <f aca="true" t="shared" si="3" ref="I97:O97">I100+I101+I105</f>
        <v>2567.07304</v>
      </c>
      <c r="J97" s="29">
        <f t="shared" si="3"/>
        <v>2504.4275400360007</v>
      </c>
      <c r="K97" s="29">
        <f t="shared" si="3"/>
        <v>2655.6295605220002</v>
      </c>
      <c r="L97" s="29">
        <f t="shared" si="3"/>
        <v>2590.3090089787033</v>
      </c>
      <c r="M97" s="29">
        <f t="shared" si="3"/>
        <v>2743.863274456763</v>
      </c>
      <c r="N97" s="29">
        <f t="shared" si="3"/>
        <v>2631.844839754265</v>
      </c>
      <c r="O97" s="29">
        <f t="shared" si="3"/>
        <v>2873.923439843511</v>
      </c>
      <c r="P97" s="117"/>
    </row>
    <row r="98" spans="1:16" ht="29.25" customHeight="1">
      <c r="A98" s="10" t="s">
        <v>234</v>
      </c>
      <c r="B98" s="3" t="s">
        <v>348</v>
      </c>
      <c r="C98" s="2" t="s">
        <v>20</v>
      </c>
      <c r="D98" s="15">
        <v>1.5</v>
      </c>
      <c r="E98" s="17">
        <v>0</v>
      </c>
      <c r="F98" s="17">
        <v>0</v>
      </c>
      <c r="G98" s="29">
        <v>0</v>
      </c>
      <c r="H98" s="29">
        <v>197.2</v>
      </c>
      <c r="I98" s="29">
        <v>0.1</v>
      </c>
      <c r="J98" s="29">
        <v>0.09</v>
      </c>
      <c r="K98" s="29">
        <v>0.1</v>
      </c>
      <c r="L98" s="29">
        <v>0.1</v>
      </c>
      <c r="M98" s="29">
        <v>0.11</v>
      </c>
      <c r="N98" s="29">
        <v>0.12</v>
      </c>
      <c r="O98" s="29">
        <v>0.12</v>
      </c>
      <c r="P98" s="117"/>
    </row>
    <row r="99" spans="1:16" ht="29.25" customHeight="1">
      <c r="A99" s="10" t="s">
        <v>235</v>
      </c>
      <c r="B99" s="3" t="s">
        <v>93</v>
      </c>
      <c r="C99" s="2" t="s">
        <v>20</v>
      </c>
      <c r="D99" s="15">
        <v>0</v>
      </c>
      <c r="E99" s="17">
        <v>0</v>
      </c>
      <c r="F99" s="17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117"/>
    </row>
    <row r="100" spans="1:16" ht="29.25" customHeight="1">
      <c r="A100" s="10" t="s">
        <v>236</v>
      </c>
      <c r="B100" s="3" t="s">
        <v>21</v>
      </c>
      <c r="C100" s="2" t="s">
        <v>20</v>
      </c>
      <c r="D100" s="15">
        <v>0</v>
      </c>
      <c r="E100" s="17">
        <v>0</v>
      </c>
      <c r="F100" s="17">
        <v>0.2</v>
      </c>
      <c r="G100" s="29">
        <v>0.2</v>
      </c>
      <c r="H100" s="29">
        <v>28.9</v>
      </c>
      <c r="I100" s="29">
        <v>0.2</v>
      </c>
      <c r="J100" s="29">
        <v>0.3</v>
      </c>
      <c r="K100" s="29">
        <v>0.3</v>
      </c>
      <c r="L100" s="29">
        <v>0.4</v>
      </c>
      <c r="M100" s="29">
        <v>0.4</v>
      </c>
      <c r="N100" s="29">
        <v>0.4</v>
      </c>
      <c r="O100" s="29">
        <v>0.4</v>
      </c>
      <c r="P100" s="117"/>
    </row>
    <row r="101" spans="1:16" ht="29.25" customHeight="1">
      <c r="A101" s="10" t="s">
        <v>237</v>
      </c>
      <c r="B101" s="3" t="s">
        <v>94</v>
      </c>
      <c r="C101" s="2" t="s">
        <v>20</v>
      </c>
      <c r="D101" s="15">
        <f>SUM(D102:D104)</f>
        <v>1662.1999999999998</v>
      </c>
      <c r="E101" s="17">
        <f>SUM(E102:E104)</f>
        <v>878.6999999999999</v>
      </c>
      <c r="F101" s="17">
        <f>SUM(F102:F104)</f>
        <v>813.1</v>
      </c>
      <c r="G101" s="29">
        <f>SUM(G102:G104)</f>
        <v>1644.6000000000001</v>
      </c>
      <c r="H101" s="29">
        <f>SUM(H102:H104)</f>
        <v>2236.9</v>
      </c>
      <c r="I101" s="29">
        <f aca="true" t="shared" si="4" ref="I101:O101">I102+I103+I104</f>
        <v>2186.0380400000004</v>
      </c>
      <c r="J101" s="29">
        <f t="shared" si="4"/>
        <v>2102.3466150360005</v>
      </c>
      <c r="K101" s="29">
        <f t="shared" si="4"/>
        <v>2251.6444605220004</v>
      </c>
      <c r="L101" s="29">
        <f t="shared" si="4"/>
        <v>2165.2265712537032</v>
      </c>
      <c r="M101" s="29">
        <f t="shared" si="4"/>
        <v>2313.538642956763</v>
      </c>
      <c r="N101" s="29">
        <f t="shared" si="4"/>
        <v>2181.2814557657653</v>
      </c>
      <c r="O101" s="29">
        <f t="shared" si="4"/>
        <v>2413.504084138511</v>
      </c>
      <c r="P101" s="117"/>
    </row>
    <row r="102" spans="1:22" ht="29.25" customHeight="1">
      <c r="A102" s="10" t="s">
        <v>238</v>
      </c>
      <c r="B102" s="4" t="s">
        <v>95</v>
      </c>
      <c r="C102" s="2" t="s">
        <v>20</v>
      </c>
      <c r="D102" s="15">
        <v>1265.6</v>
      </c>
      <c r="E102" s="17">
        <v>260.2</v>
      </c>
      <c r="F102" s="17">
        <v>359.4</v>
      </c>
      <c r="G102" s="29">
        <v>1253.4</v>
      </c>
      <c r="H102" s="29">
        <v>1898.7</v>
      </c>
      <c r="I102" s="29">
        <f>H102*99.26/100</f>
        <v>1884.6496200000004</v>
      </c>
      <c r="J102" s="29">
        <f>I102*96.05/100</f>
        <v>1810.2059600100004</v>
      </c>
      <c r="K102" s="29">
        <f>I102*103/100</f>
        <v>1941.1891086000003</v>
      </c>
      <c r="L102" s="29">
        <f>J102*102.99/100</f>
        <v>1864.3311182142993</v>
      </c>
      <c r="M102" s="29">
        <f>K102*102.75/100</f>
        <v>1994.5718090865005</v>
      </c>
      <c r="N102" s="29">
        <f>L102*102.31/100</f>
        <v>1907.3971670450496</v>
      </c>
      <c r="O102" s="29">
        <f>M102*104.32/100</f>
        <v>2080.737311239037</v>
      </c>
      <c r="P102" s="136"/>
      <c r="Q102" s="137"/>
      <c r="R102" s="137"/>
      <c r="S102" s="137"/>
      <c r="T102" s="137"/>
      <c r="U102" s="137"/>
      <c r="V102" s="137"/>
    </row>
    <row r="103" spans="1:16" ht="29.25" customHeight="1">
      <c r="A103" s="10" t="s">
        <v>239</v>
      </c>
      <c r="B103" s="4" t="s">
        <v>96</v>
      </c>
      <c r="C103" s="2" t="s">
        <v>20</v>
      </c>
      <c r="D103" s="15">
        <v>135.8</v>
      </c>
      <c r="E103" s="17">
        <v>459.9</v>
      </c>
      <c r="F103" s="17">
        <v>227.6</v>
      </c>
      <c r="G103" s="29">
        <v>275.3</v>
      </c>
      <c r="H103" s="29">
        <v>290.2</v>
      </c>
      <c r="I103" s="29">
        <f>H103*87.11/100</f>
        <v>252.79322</v>
      </c>
      <c r="J103" s="29">
        <f>I103*96.93/100</f>
        <v>245.03246814599999</v>
      </c>
      <c r="K103" s="29">
        <f>I103*103.01/100</f>
        <v>260.402295922</v>
      </c>
      <c r="L103" s="29">
        <f>J103*103/100</f>
        <v>252.38344219037998</v>
      </c>
      <c r="M103" s="29">
        <f>K103*102.74/100</f>
        <v>267.5373188302628</v>
      </c>
      <c r="N103" s="29">
        <f>L103*89.04/100</f>
        <v>224.72221692631436</v>
      </c>
      <c r="O103" s="29">
        <f>M103*104.32/100</f>
        <v>279.09493100373015</v>
      </c>
      <c r="P103" s="117"/>
    </row>
    <row r="104" spans="1:15" ht="29.25" customHeight="1">
      <c r="A104" s="10" t="s">
        <v>240</v>
      </c>
      <c r="B104" s="4" t="s">
        <v>97</v>
      </c>
      <c r="C104" s="2" t="s">
        <v>20</v>
      </c>
      <c r="D104" s="15">
        <v>260.8</v>
      </c>
      <c r="E104" s="17">
        <v>158.6</v>
      </c>
      <c r="F104" s="17">
        <v>226.1</v>
      </c>
      <c r="G104" s="29">
        <v>115.9</v>
      </c>
      <c r="H104" s="29">
        <v>48</v>
      </c>
      <c r="I104" s="29">
        <f>H104*101.24/100</f>
        <v>48.5952</v>
      </c>
      <c r="J104" s="29">
        <f>I104*96.94/100</f>
        <v>47.10818687999999</v>
      </c>
      <c r="K104" s="29">
        <f>I104*103/100</f>
        <v>50.053056</v>
      </c>
      <c r="L104" s="29">
        <f>J104*102.98/100</f>
        <v>48.512010849023994</v>
      </c>
      <c r="M104" s="29">
        <f>K104*102.75/100</f>
        <v>51.42951504</v>
      </c>
      <c r="N104" s="29">
        <f>L104*101.34/100</f>
        <v>49.162071794400916</v>
      </c>
      <c r="O104" s="29">
        <f>M104*104.36/100</f>
        <v>53.671841895744</v>
      </c>
    </row>
    <row r="105" spans="1:15" ht="25.5" customHeight="1">
      <c r="A105" s="10" t="s">
        <v>241</v>
      </c>
      <c r="B105" s="3" t="s">
        <v>22</v>
      </c>
      <c r="C105" s="2" t="s">
        <v>20</v>
      </c>
      <c r="D105" s="15">
        <v>161.3</v>
      </c>
      <c r="E105" s="17">
        <v>1420.9</v>
      </c>
      <c r="F105" s="17">
        <f>2779.6+15.5</f>
        <v>2795.1</v>
      </c>
      <c r="G105" s="29">
        <v>549.9</v>
      </c>
      <c r="H105" s="29">
        <f>333.2+29.5</f>
        <v>362.7</v>
      </c>
      <c r="I105" s="29">
        <f>H105*105/100</f>
        <v>380.835</v>
      </c>
      <c r="J105" s="29">
        <f>I105*105.5/100</f>
        <v>401.78092499999997</v>
      </c>
      <c r="K105" s="29">
        <f>I105*106/100</f>
        <v>403.6850999999999</v>
      </c>
      <c r="L105" s="29">
        <f>J105*105.7/100</f>
        <v>424.682437725</v>
      </c>
      <c r="M105" s="29">
        <f>K105*106.5/100</f>
        <v>429.92463149999986</v>
      </c>
      <c r="N105" s="29">
        <f>L105*106/100</f>
        <v>450.1633839885</v>
      </c>
      <c r="O105" s="29">
        <f>M105*107/100</f>
        <v>460.01935570499984</v>
      </c>
    </row>
    <row r="106" spans="1:15" s="106" customFormat="1" ht="18.75">
      <c r="A106" s="114">
        <v>8</v>
      </c>
      <c r="B106" s="99" t="s">
        <v>23</v>
      </c>
      <c r="C106" s="100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</row>
    <row r="107" spans="1:15" ht="27.75" customHeight="1">
      <c r="A107" s="5" t="s">
        <v>242</v>
      </c>
      <c r="B107" s="12" t="s">
        <v>98</v>
      </c>
      <c r="C107" s="2" t="s">
        <v>57</v>
      </c>
      <c r="D107" s="11">
        <v>96.8</v>
      </c>
      <c r="E107" s="11">
        <v>99.8</v>
      </c>
      <c r="F107" s="11">
        <v>100.3</v>
      </c>
      <c r="G107" s="43">
        <v>103.6</v>
      </c>
      <c r="H107" s="29">
        <v>102.6</v>
      </c>
      <c r="I107" s="29">
        <v>101.5</v>
      </c>
      <c r="J107" s="29">
        <v>101.9</v>
      </c>
      <c r="K107" s="29">
        <v>102.4</v>
      </c>
      <c r="L107" s="29">
        <v>102</v>
      </c>
      <c r="M107" s="29">
        <v>102.5</v>
      </c>
      <c r="N107" s="29">
        <v>102</v>
      </c>
      <c r="O107" s="29">
        <v>102.5</v>
      </c>
    </row>
    <row r="108" spans="1:15" ht="56.25">
      <c r="A108" s="5" t="s">
        <v>243</v>
      </c>
      <c r="B108" s="4" t="s">
        <v>123</v>
      </c>
      <c r="C108" s="2" t="s">
        <v>99</v>
      </c>
      <c r="D108" s="11">
        <v>8422</v>
      </c>
      <c r="E108" s="11">
        <v>8669</v>
      </c>
      <c r="F108" s="11">
        <v>9056</v>
      </c>
      <c r="G108" s="43">
        <v>9888</v>
      </c>
      <c r="H108" s="29">
        <v>10400</v>
      </c>
      <c r="I108" s="29">
        <v>10631</v>
      </c>
      <c r="J108" s="29">
        <v>11114</v>
      </c>
      <c r="K108" s="29">
        <v>11114</v>
      </c>
      <c r="L108" s="29">
        <v>12418</v>
      </c>
      <c r="M108" s="29">
        <v>12406</v>
      </c>
      <c r="N108" s="29">
        <v>13482</v>
      </c>
      <c r="O108" s="29">
        <v>13470</v>
      </c>
    </row>
    <row r="109" spans="1:15" ht="28.5" customHeight="1">
      <c r="A109" s="5" t="s">
        <v>244</v>
      </c>
      <c r="B109" s="6" t="s">
        <v>118</v>
      </c>
      <c r="C109" s="2" t="s">
        <v>99</v>
      </c>
      <c r="D109" s="11">
        <v>8815</v>
      </c>
      <c r="E109" s="11">
        <v>9074</v>
      </c>
      <c r="F109" s="11">
        <v>9466</v>
      </c>
      <c r="G109" s="43">
        <v>10350</v>
      </c>
      <c r="H109" s="29">
        <v>10851</v>
      </c>
      <c r="I109" s="29">
        <v>11083</v>
      </c>
      <c r="J109" s="29">
        <v>12114</v>
      </c>
      <c r="K109" s="29">
        <v>12114</v>
      </c>
      <c r="L109" s="29">
        <v>13535</v>
      </c>
      <c r="M109" s="29">
        <v>13523</v>
      </c>
      <c r="N109" s="29">
        <v>14694</v>
      </c>
      <c r="O109" s="29">
        <v>14682</v>
      </c>
    </row>
    <row r="110" spans="1:15" ht="28.5" customHeight="1">
      <c r="A110" s="5" t="s">
        <v>245</v>
      </c>
      <c r="B110" s="6" t="s">
        <v>119</v>
      </c>
      <c r="C110" s="2" t="s">
        <v>99</v>
      </c>
      <c r="D110" s="11">
        <v>7526</v>
      </c>
      <c r="E110" s="11">
        <v>7667</v>
      </c>
      <c r="F110" s="11">
        <v>7275</v>
      </c>
      <c r="G110" s="43">
        <v>7949</v>
      </c>
      <c r="H110" s="29">
        <v>8307</v>
      </c>
      <c r="I110" s="29">
        <v>8472</v>
      </c>
      <c r="J110" s="29">
        <v>9558</v>
      </c>
      <c r="K110" s="29">
        <v>9558</v>
      </c>
      <c r="L110" s="29">
        <v>10681</v>
      </c>
      <c r="M110" s="29">
        <v>10669</v>
      </c>
      <c r="N110" s="29">
        <v>11596</v>
      </c>
      <c r="O110" s="29">
        <v>11584</v>
      </c>
    </row>
    <row r="111" spans="1:15" ht="28.5" customHeight="1">
      <c r="A111" s="5" t="s">
        <v>246</v>
      </c>
      <c r="B111" s="6" t="s">
        <v>120</v>
      </c>
      <c r="C111" s="2" t="s">
        <v>99</v>
      </c>
      <c r="D111" s="11">
        <v>8504</v>
      </c>
      <c r="E111" s="11">
        <v>8753</v>
      </c>
      <c r="F111" s="11">
        <v>9188</v>
      </c>
      <c r="G111" s="43">
        <v>9983</v>
      </c>
      <c r="H111" s="133">
        <v>10647</v>
      </c>
      <c r="I111" s="133">
        <v>10926</v>
      </c>
      <c r="J111" s="133">
        <v>11199</v>
      </c>
      <c r="K111" s="133">
        <v>11199</v>
      </c>
      <c r="L111" s="133">
        <v>12046</v>
      </c>
      <c r="M111" s="133">
        <v>12034</v>
      </c>
      <c r="N111" s="133">
        <v>13078</v>
      </c>
      <c r="O111" s="133">
        <v>13066</v>
      </c>
    </row>
    <row r="112" spans="1:15" ht="56.25">
      <c r="A112" s="5" t="s">
        <v>247</v>
      </c>
      <c r="B112" s="4" t="s">
        <v>100</v>
      </c>
      <c r="C112" s="2" t="s">
        <v>13</v>
      </c>
      <c r="D112" s="11">
        <v>31.2</v>
      </c>
      <c r="E112" s="11">
        <v>21.4</v>
      </c>
      <c r="F112" s="43">
        <v>21</v>
      </c>
      <c r="G112" s="43">
        <v>20.7</v>
      </c>
      <c r="H112" s="29">
        <v>22.7</v>
      </c>
      <c r="I112" s="29">
        <v>22.1</v>
      </c>
      <c r="J112" s="134">
        <v>21.3</v>
      </c>
      <c r="K112" s="135">
        <v>19.4</v>
      </c>
      <c r="L112" s="135">
        <v>20.2</v>
      </c>
      <c r="M112" s="135">
        <v>18.3</v>
      </c>
      <c r="N112" s="135">
        <v>19.3</v>
      </c>
      <c r="O112" s="135">
        <v>17.4</v>
      </c>
    </row>
    <row r="113" spans="1:15" s="106" customFormat="1" ht="18.75">
      <c r="A113" s="114">
        <v>9</v>
      </c>
      <c r="B113" s="99" t="s">
        <v>114</v>
      </c>
      <c r="C113" s="100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1:15" ht="33.75" customHeight="1">
      <c r="A114" s="10" t="s">
        <v>248</v>
      </c>
      <c r="B114" s="6" t="s">
        <v>101</v>
      </c>
      <c r="C114" s="2" t="s">
        <v>16</v>
      </c>
      <c r="D114" s="11">
        <v>60.4</v>
      </c>
      <c r="E114" s="15">
        <f>E115+E124</f>
        <v>57.7</v>
      </c>
      <c r="F114" s="17">
        <v>59.8</v>
      </c>
      <c r="G114" s="121">
        <v>60.89</v>
      </c>
      <c r="H114" s="121">
        <v>60.93</v>
      </c>
      <c r="I114" s="121">
        <v>60.94</v>
      </c>
      <c r="J114" s="121">
        <v>60.95</v>
      </c>
      <c r="K114" s="121">
        <v>60.97</v>
      </c>
      <c r="L114" s="121">
        <v>61</v>
      </c>
      <c r="M114" s="121">
        <v>61.1</v>
      </c>
      <c r="N114" s="121">
        <v>61.2</v>
      </c>
      <c r="O114" s="122">
        <v>61.3</v>
      </c>
    </row>
    <row r="115" spans="1:15" ht="37.5">
      <c r="A115" s="10" t="s">
        <v>332</v>
      </c>
      <c r="B115" s="36" t="s">
        <v>152</v>
      </c>
      <c r="C115" s="2" t="s">
        <v>56</v>
      </c>
      <c r="D115" s="15">
        <v>45.4</v>
      </c>
      <c r="E115" s="15">
        <v>52.1</v>
      </c>
      <c r="F115" s="17">
        <v>52.3</v>
      </c>
      <c r="G115" s="121">
        <v>52.379</v>
      </c>
      <c r="H115" s="121">
        <v>52.34</v>
      </c>
      <c r="I115" s="121">
        <f>H115+0.323</f>
        <v>52.663000000000004</v>
      </c>
      <c r="J115" s="121">
        <v>52.85</v>
      </c>
      <c r="K115" s="121">
        <v>52.9</v>
      </c>
      <c r="L115" s="121">
        <v>53.2</v>
      </c>
      <c r="M115" s="121">
        <v>53.82</v>
      </c>
      <c r="N115" s="121">
        <v>53.4</v>
      </c>
      <c r="O115" s="122">
        <v>53.96</v>
      </c>
    </row>
    <row r="116" spans="1:15" ht="37.5">
      <c r="A116" s="10" t="s">
        <v>333</v>
      </c>
      <c r="B116" s="4" t="s">
        <v>102</v>
      </c>
      <c r="C116" s="2" t="s">
        <v>99</v>
      </c>
      <c r="D116" s="15">
        <v>24884</v>
      </c>
      <c r="E116" s="15">
        <v>26618.9</v>
      </c>
      <c r="F116" s="17">
        <v>29860.2</v>
      </c>
      <c r="G116" s="121">
        <v>32153.8</v>
      </c>
      <c r="H116" s="121">
        <v>35794.7</v>
      </c>
      <c r="I116" s="121">
        <v>36397.3</v>
      </c>
      <c r="J116" s="121">
        <f>H116*105%</f>
        <v>37584.435</v>
      </c>
      <c r="K116" s="121">
        <f>H116*105.6%</f>
        <v>37799.203199999996</v>
      </c>
      <c r="L116" s="121">
        <f>J116*106%</f>
        <v>39839.5011</v>
      </c>
      <c r="M116" s="121">
        <f>K116*106.2%</f>
        <v>40142.7537984</v>
      </c>
      <c r="N116" s="121">
        <f>L116*105.3%</f>
        <v>41950.9946583</v>
      </c>
      <c r="O116" s="122">
        <f>M116*106.1%</f>
        <v>42591.4617801024</v>
      </c>
    </row>
    <row r="117" spans="1:15" ht="37.5">
      <c r="A117" s="10" t="s">
        <v>334</v>
      </c>
      <c r="B117" s="4" t="s">
        <v>103</v>
      </c>
      <c r="C117" s="11" t="s">
        <v>57</v>
      </c>
      <c r="D117" s="11">
        <v>107.1</v>
      </c>
      <c r="E117" s="11">
        <v>107.1</v>
      </c>
      <c r="F117" s="29">
        <f>F116/E116*100</f>
        <v>112.17668648967462</v>
      </c>
      <c r="G117" s="121">
        <f>G116/F116*100</f>
        <v>107.68112738695655</v>
      </c>
      <c r="H117" s="121">
        <f>H116/G116*100</f>
        <v>111.32338945941069</v>
      </c>
      <c r="I117" s="121">
        <f>I116/H116*100</f>
        <v>101.6834894551428</v>
      </c>
      <c r="J117" s="121">
        <f>J116/I116*100</f>
        <v>103.26160182211316</v>
      </c>
      <c r="K117" s="121">
        <f>K116/I116*100</f>
        <v>103.85166811823952</v>
      </c>
      <c r="L117" s="121">
        <f>L116/J116*100</f>
        <v>106</v>
      </c>
      <c r="M117" s="121">
        <f>M116/K116*100</f>
        <v>106.2</v>
      </c>
      <c r="N117" s="121">
        <f>N116/L116*100</f>
        <v>105.3</v>
      </c>
      <c r="O117" s="121">
        <f>O116/M116*100</f>
        <v>106.1</v>
      </c>
    </row>
    <row r="118" spans="1:15" ht="75">
      <c r="A118" s="10" t="s">
        <v>335</v>
      </c>
      <c r="B118" s="4" t="s">
        <v>46</v>
      </c>
      <c r="C118" s="2" t="s">
        <v>52</v>
      </c>
      <c r="D118" s="15">
        <v>19658</v>
      </c>
      <c r="E118" s="15">
        <v>21008</v>
      </c>
      <c r="F118" s="17">
        <v>22040</v>
      </c>
      <c r="G118" s="121">
        <v>23419</v>
      </c>
      <c r="H118" s="121">
        <v>25523</v>
      </c>
      <c r="I118" s="121">
        <v>27115.6</v>
      </c>
      <c r="J118" s="121">
        <v>28902.5</v>
      </c>
      <c r="K118" s="121">
        <v>28912.2</v>
      </c>
      <c r="L118" s="121">
        <v>30815.9</v>
      </c>
      <c r="M118" s="121">
        <v>30838.4</v>
      </c>
      <c r="N118" s="121">
        <v>32852.8</v>
      </c>
      <c r="O118" s="122">
        <v>32888.6</v>
      </c>
    </row>
    <row r="119" spans="1:15" ht="82.5" customHeight="1">
      <c r="A119" s="10" t="s">
        <v>336</v>
      </c>
      <c r="B119" s="36" t="s">
        <v>153</v>
      </c>
      <c r="C119" s="38" t="s">
        <v>57</v>
      </c>
      <c r="D119" s="11"/>
      <c r="E119" s="15">
        <f aca="true" t="shared" si="5" ref="E119:J119">E118/D118*100</f>
        <v>106.86743310611455</v>
      </c>
      <c r="F119" s="17">
        <f t="shared" si="5"/>
        <v>104.91241431835492</v>
      </c>
      <c r="G119" s="121">
        <f>G118/F118*100</f>
        <v>106.25680580762251</v>
      </c>
      <c r="H119" s="121">
        <f t="shared" si="5"/>
        <v>108.98415816217602</v>
      </c>
      <c r="I119" s="121">
        <f t="shared" si="5"/>
        <v>106.23986208517806</v>
      </c>
      <c r="J119" s="121">
        <f t="shared" si="5"/>
        <v>106.58993347003202</v>
      </c>
      <c r="K119" s="121">
        <f>K118/I118*100</f>
        <v>106.62570623552494</v>
      </c>
      <c r="L119" s="121">
        <f>L118/J118*100</f>
        <v>106.62018856500303</v>
      </c>
      <c r="M119" s="121">
        <f>M118/K118*100</f>
        <v>106.66223946984319</v>
      </c>
      <c r="N119" s="121">
        <f>N118/L118*100</f>
        <v>106.60989943503192</v>
      </c>
      <c r="O119" s="121">
        <f>O118/M118*100</f>
        <v>106.64820483552973</v>
      </c>
    </row>
    <row r="120" spans="1:15" ht="28.5" customHeight="1">
      <c r="A120" s="10" t="s">
        <v>337</v>
      </c>
      <c r="B120" s="6" t="s">
        <v>104</v>
      </c>
      <c r="C120" s="11" t="s">
        <v>57</v>
      </c>
      <c r="D120" s="11">
        <v>104</v>
      </c>
      <c r="E120" s="11">
        <v>102.2</v>
      </c>
      <c r="F120" s="29">
        <v>107.55</v>
      </c>
      <c r="G120" s="121">
        <f>G117/103.3*100</f>
        <v>104.24116881602762</v>
      </c>
      <c r="H120" s="121">
        <f>H117/107.6*100</f>
        <v>103.46039912584637</v>
      </c>
      <c r="I120" s="121">
        <v>103.1</v>
      </c>
      <c r="J120" s="121">
        <v>105.3</v>
      </c>
      <c r="K120" s="121">
        <v>105.3</v>
      </c>
      <c r="L120" s="121">
        <v>105.4</v>
      </c>
      <c r="M120" s="121">
        <v>105.4</v>
      </c>
      <c r="N120" s="121">
        <v>105</v>
      </c>
      <c r="O120" s="121">
        <f>O117/104*100</f>
        <v>102.01923076923076</v>
      </c>
    </row>
    <row r="121" spans="1:15" ht="18.75">
      <c r="A121" s="10" t="s">
        <v>338</v>
      </c>
      <c r="B121" s="36" t="s">
        <v>154</v>
      </c>
      <c r="C121" s="38" t="s">
        <v>155</v>
      </c>
      <c r="D121" s="11">
        <v>98</v>
      </c>
      <c r="E121" s="11">
        <v>100.5</v>
      </c>
      <c r="F121" s="43">
        <v>101.5</v>
      </c>
      <c r="G121" s="121">
        <v>102.1</v>
      </c>
      <c r="H121" s="121">
        <v>100.1</v>
      </c>
      <c r="I121" s="121">
        <v>102.5</v>
      </c>
      <c r="J121" s="121">
        <v>102.6</v>
      </c>
      <c r="K121" s="121">
        <v>102.7</v>
      </c>
      <c r="L121" s="121">
        <v>102.6</v>
      </c>
      <c r="M121" s="121">
        <v>102.7</v>
      </c>
      <c r="N121" s="121">
        <v>102.6</v>
      </c>
      <c r="O121" s="122">
        <v>102.7</v>
      </c>
    </row>
    <row r="122" spans="1:15" ht="18.75">
      <c r="A122" s="10" t="s">
        <v>339</v>
      </c>
      <c r="B122" s="36" t="s">
        <v>156</v>
      </c>
      <c r="C122" s="11" t="s">
        <v>105</v>
      </c>
      <c r="D122" s="16">
        <f>(D124/D114)*100</f>
        <v>9.271523178807946</v>
      </c>
      <c r="E122" s="16">
        <f>(E124/E114)*100</f>
        <v>9.7053726169844</v>
      </c>
      <c r="F122" s="29">
        <v>8.21</v>
      </c>
      <c r="G122" s="121">
        <f aca="true" t="shared" si="6" ref="G122:O122">G124/G114*100</f>
        <v>9.817704056495323</v>
      </c>
      <c r="H122" s="121">
        <f>H124/H114*100</f>
        <v>13.7863121614968</v>
      </c>
      <c r="I122" s="121">
        <f>I124/I114*100</f>
        <v>12.914341975713818</v>
      </c>
      <c r="J122" s="121">
        <f t="shared" si="6"/>
        <v>12.584085315832649</v>
      </c>
      <c r="K122" s="121">
        <f t="shared" si="6"/>
        <v>12.366737739872068</v>
      </c>
      <c r="L122" s="121">
        <f t="shared" si="6"/>
        <v>11.819672131147541</v>
      </c>
      <c r="M122" s="121">
        <f t="shared" si="6"/>
        <v>11.047463175122749</v>
      </c>
      <c r="N122" s="121">
        <f t="shared" si="6"/>
        <v>11.143790849673202</v>
      </c>
      <c r="O122" s="121">
        <f t="shared" si="6"/>
        <v>9.787928221859707</v>
      </c>
    </row>
    <row r="123" spans="1:15" ht="37.5">
      <c r="A123" s="10" t="s">
        <v>340</v>
      </c>
      <c r="B123" s="4" t="s">
        <v>25</v>
      </c>
      <c r="C123" s="11" t="s">
        <v>13</v>
      </c>
      <c r="D123" s="16">
        <f>D125*100/D114</f>
        <v>1.1589403973509933</v>
      </c>
      <c r="E123" s="16">
        <f>E125*100/E114</f>
        <v>1.0519930675909877</v>
      </c>
      <c r="F123" s="29">
        <v>0.9</v>
      </c>
      <c r="G123" s="121">
        <v>0.8</v>
      </c>
      <c r="H123" s="121">
        <v>7.61</v>
      </c>
      <c r="I123" s="121">
        <f aca="true" t="shared" si="7" ref="I123:O123">I125/I114*100</f>
        <v>4.108959632425337</v>
      </c>
      <c r="J123" s="121">
        <f t="shared" si="7"/>
        <v>3.0352748154224773</v>
      </c>
      <c r="K123" s="121">
        <f t="shared" si="7"/>
        <v>2.8702640642939152</v>
      </c>
      <c r="L123" s="121">
        <f t="shared" si="7"/>
        <v>2.0491803278688523</v>
      </c>
      <c r="M123" s="121">
        <f t="shared" si="7"/>
        <v>1.8494271685761046</v>
      </c>
      <c r="N123" s="121">
        <f t="shared" si="7"/>
        <v>1.4705882352941175</v>
      </c>
      <c r="O123" s="121">
        <f t="shared" si="7"/>
        <v>1.2234910277324633</v>
      </c>
    </row>
    <row r="124" spans="1:15" ht="37.5">
      <c r="A124" s="10" t="s">
        <v>341</v>
      </c>
      <c r="B124" s="36" t="s">
        <v>157</v>
      </c>
      <c r="C124" s="2" t="s">
        <v>16</v>
      </c>
      <c r="D124" s="16">
        <v>5.6</v>
      </c>
      <c r="E124" s="16">
        <v>5.6</v>
      </c>
      <c r="F124" s="29">
        <v>4.91</v>
      </c>
      <c r="G124" s="121">
        <f>G114-G115-0.096-0.137-2.3</f>
        <v>5.978000000000002</v>
      </c>
      <c r="H124" s="121">
        <v>8.4</v>
      </c>
      <c r="I124" s="121">
        <v>7.87</v>
      </c>
      <c r="J124" s="121">
        <v>7.67</v>
      </c>
      <c r="K124" s="121">
        <v>7.54</v>
      </c>
      <c r="L124" s="121">
        <v>7.21</v>
      </c>
      <c r="M124" s="121">
        <v>6.75</v>
      </c>
      <c r="N124" s="121">
        <v>6.82</v>
      </c>
      <c r="O124" s="121">
        <v>6</v>
      </c>
    </row>
    <row r="125" spans="1:15" ht="56.25">
      <c r="A125" s="10" t="s">
        <v>342</v>
      </c>
      <c r="B125" s="4" t="s">
        <v>26</v>
      </c>
      <c r="C125" s="2" t="s">
        <v>16</v>
      </c>
      <c r="D125" s="22">
        <v>0.7</v>
      </c>
      <c r="E125" s="22">
        <v>0.607</v>
      </c>
      <c r="F125" s="23">
        <v>0.484</v>
      </c>
      <c r="G125" s="121">
        <v>0.441</v>
      </c>
      <c r="H125" s="121">
        <v>4.637</v>
      </c>
      <c r="I125" s="121">
        <v>2.504</v>
      </c>
      <c r="J125" s="121">
        <v>1.85</v>
      </c>
      <c r="K125" s="121">
        <v>1.75</v>
      </c>
      <c r="L125" s="121">
        <v>1.25</v>
      </c>
      <c r="M125" s="121">
        <v>1.13</v>
      </c>
      <c r="N125" s="121">
        <v>0.9</v>
      </c>
      <c r="O125" s="122">
        <v>0.75</v>
      </c>
    </row>
    <row r="126" spans="1:15" ht="28.5" customHeight="1">
      <c r="A126" s="10" t="s">
        <v>343</v>
      </c>
      <c r="B126" s="4" t="s">
        <v>106</v>
      </c>
      <c r="C126" s="2" t="s">
        <v>8</v>
      </c>
      <c r="D126" s="11">
        <v>8591.4</v>
      </c>
      <c r="E126" s="11">
        <v>9110.7</v>
      </c>
      <c r="F126" s="43">
        <v>10341.2</v>
      </c>
      <c r="G126" s="121">
        <v>11635.17</v>
      </c>
      <c r="H126" s="121">
        <v>12664.2</v>
      </c>
      <c r="I126" s="121">
        <v>12966.84</v>
      </c>
      <c r="J126" s="121">
        <f aca="true" t="shared" si="8" ref="J126:O126">I126*J127/100</f>
        <v>13498.48044</v>
      </c>
      <c r="K126" s="121">
        <f t="shared" si="8"/>
        <v>14246.296256376</v>
      </c>
      <c r="L126" s="121">
        <f t="shared" si="8"/>
        <v>15155.209957532787</v>
      </c>
      <c r="M126" s="121">
        <f t="shared" si="8"/>
        <v>16303.97487231377</v>
      </c>
      <c r="N126" s="121">
        <f t="shared" si="8"/>
        <v>17512.09941035222</v>
      </c>
      <c r="O126" s="121">
        <f t="shared" si="8"/>
        <v>18930.57946259075</v>
      </c>
    </row>
    <row r="127" spans="1:15" ht="37.5">
      <c r="A127" s="10" t="s">
        <v>344</v>
      </c>
      <c r="B127" s="4" t="s">
        <v>107</v>
      </c>
      <c r="C127" s="2" t="s">
        <v>57</v>
      </c>
      <c r="D127" s="15">
        <v>119.2</v>
      </c>
      <c r="E127" s="15">
        <v>105.8</v>
      </c>
      <c r="F127" s="17">
        <f>F126/E126*100</f>
        <v>113.50609722633827</v>
      </c>
      <c r="G127" s="121">
        <v>111</v>
      </c>
      <c r="H127" s="121">
        <f>H126/G126*100</f>
        <v>108.84413377716011</v>
      </c>
      <c r="I127" s="121">
        <f>I126/H126*100</f>
        <v>102.3897285260814</v>
      </c>
      <c r="J127" s="121">
        <v>104.1</v>
      </c>
      <c r="K127" s="121">
        <v>105.54</v>
      </c>
      <c r="L127" s="121">
        <v>106.38</v>
      </c>
      <c r="M127" s="121">
        <v>107.58</v>
      </c>
      <c r="N127" s="121">
        <v>107.41</v>
      </c>
      <c r="O127" s="122">
        <v>108.1</v>
      </c>
    </row>
    <row r="128" spans="1:15" ht="18.75">
      <c r="A128" s="139">
        <v>10</v>
      </c>
      <c r="B128" s="140" t="s">
        <v>424</v>
      </c>
      <c r="C128" s="141"/>
      <c r="D128" s="142"/>
      <c r="E128" s="142"/>
      <c r="F128" s="142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ht="19.5">
      <c r="A129" s="10" t="s">
        <v>386</v>
      </c>
      <c r="B129" s="143" t="s">
        <v>349</v>
      </c>
      <c r="C129" s="2" t="s">
        <v>350</v>
      </c>
      <c r="D129" s="2"/>
      <c r="E129" s="2"/>
      <c r="F129" s="2"/>
      <c r="G129" s="15">
        <f>G130+G143</f>
        <v>2675.5</v>
      </c>
      <c r="H129" s="15">
        <f>H130+H143</f>
        <v>2741.5</v>
      </c>
      <c r="I129" s="15">
        <f aca="true" t="shared" si="9" ref="I129:O129">I130+I143</f>
        <v>4240.6</v>
      </c>
      <c r="J129" s="15">
        <f t="shared" si="9"/>
        <v>3040.8999999999996</v>
      </c>
      <c r="K129" s="15">
        <f t="shared" si="9"/>
        <v>3041.1</v>
      </c>
      <c r="L129" s="15">
        <f t="shared" si="9"/>
        <v>2629.4</v>
      </c>
      <c r="M129" s="15">
        <f t="shared" si="9"/>
        <v>2629.8</v>
      </c>
      <c r="N129" s="15">
        <f t="shared" si="9"/>
        <v>2387.6</v>
      </c>
      <c r="O129" s="15">
        <f t="shared" si="9"/>
        <v>2388.2</v>
      </c>
    </row>
    <row r="130" spans="1:15" ht="19.5">
      <c r="A130" s="5" t="s">
        <v>387</v>
      </c>
      <c r="B130" s="143" t="s">
        <v>351</v>
      </c>
      <c r="C130" s="2" t="s">
        <v>352</v>
      </c>
      <c r="D130" s="2"/>
      <c r="E130" s="2"/>
      <c r="F130" s="2"/>
      <c r="G130" s="15">
        <f>G131+G142</f>
        <v>860.2</v>
      </c>
      <c r="H130" s="15">
        <f>H131+H142</f>
        <v>819.3000000000001</v>
      </c>
      <c r="I130" s="15">
        <f aca="true" t="shared" si="10" ref="I130:O130">I131+I142</f>
        <v>912.3</v>
      </c>
      <c r="J130" s="15">
        <f t="shared" si="10"/>
        <v>913.2</v>
      </c>
      <c r="K130" s="15">
        <f t="shared" si="10"/>
        <v>913.4</v>
      </c>
      <c r="L130" s="15">
        <f t="shared" si="10"/>
        <v>955.4000000000001</v>
      </c>
      <c r="M130" s="15">
        <f t="shared" si="10"/>
        <v>955.8</v>
      </c>
      <c r="N130" s="15">
        <f t="shared" si="10"/>
        <v>1000.5</v>
      </c>
      <c r="O130" s="15">
        <f t="shared" si="10"/>
        <v>1001.1</v>
      </c>
    </row>
    <row r="131" spans="1:15" ht="39">
      <c r="A131" s="5" t="s">
        <v>388</v>
      </c>
      <c r="B131" s="143" t="s">
        <v>353</v>
      </c>
      <c r="C131" s="2" t="s">
        <v>352</v>
      </c>
      <c r="D131" s="2"/>
      <c r="E131" s="2"/>
      <c r="F131" s="2"/>
      <c r="G131" s="11">
        <v>715.4</v>
      </c>
      <c r="H131" s="11">
        <v>740.2</v>
      </c>
      <c r="I131" s="11">
        <v>799.8</v>
      </c>
      <c r="J131" s="11">
        <v>783.6</v>
      </c>
      <c r="K131" s="11">
        <v>783.8</v>
      </c>
      <c r="L131" s="11">
        <v>827.2</v>
      </c>
      <c r="M131" s="11">
        <v>827.6</v>
      </c>
      <c r="N131" s="11">
        <v>873.1</v>
      </c>
      <c r="O131" s="11">
        <v>873.7</v>
      </c>
    </row>
    <row r="132" spans="1:15" ht="18.75">
      <c r="A132" s="10" t="s">
        <v>389</v>
      </c>
      <c r="B132" s="12" t="s">
        <v>354</v>
      </c>
      <c r="C132" s="2" t="s">
        <v>352</v>
      </c>
      <c r="D132" s="2"/>
      <c r="E132" s="2"/>
      <c r="F132" s="2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8.75">
      <c r="A133" s="5" t="s">
        <v>390</v>
      </c>
      <c r="B133" s="12" t="s">
        <v>355</v>
      </c>
      <c r="C133" s="2" t="s">
        <v>352</v>
      </c>
      <c r="D133" s="2"/>
      <c r="E133" s="2"/>
      <c r="F133" s="2"/>
      <c r="G133" s="11">
        <v>321.7</v>
      </c>
      <c r="H133" s="11">
        <v>368.4</v>
      </c>
      <c r="I133" s="11">
        <v>400.1</v>
      </c>
      <c r="J133" s="11">
        <v>427.1</v>
      </c>
      <c r="K133" s="11">
        <v>427.3</v>
      </c>
      <c r="L133" s="11">
        <v>456.4</v>
      </c>
      <c r="M133" s="11">
        <v>456.8</v>
      </c>
      <c r="N133" s="15">
        <v>486.8</v>
      </c>
      <c r="O133" s="11">
        <v>487.4</v>
      </c>
    </row>
    <row r="134" spans="1:15" ht="18.75">
      <c r="A134" s="10" t="s">
        <v>391</v>
      </c>
      <c r="B134" s="12" t="s">
        <v>356</v>
      </c>
      <c r="C134" s="2" t="s">
        <v>352</v>
      </c>
      <c r="D134" s="2"/>
      <c r="E134" s="2"/>
      <c r="F134" s="2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8.75">
      <c r="A135" s="5" t="s">
        <v>392</v>
      </c>
      <c r="B135" s="12" t="s">
        <v>357</v>
      </c>
      <c r="C135" s="2" t="s">
        <v>352</v>
      </c>
      <c r="D135" s="2"/>
      <c r="E135" s="2"/>
      <c r="F135" s="2"/>
      <c r="G135" s="11">
        <v>14.3</v>
      </c>
      <c r="H135" s="11">
        <v>11.8</v>
      </c>
      <c r="I135" s="11">
        <v>13.1</v>
      </c>
      <c r="J135" s="11">
        <v>13.8</v>
      </c>
      <c r="K135" s="11">
        <v>13.8</v>
      </c>
      <c r="L135" s="11">
        <v>14.3</v>
      </c>
      <c r="M135" s="11">
        <v>14.3</v>
      </c>
      <c r="N135" s="11">
        <v>14.9</v>
      </c>
      <c r="O135" s="11">
        <v>14.9</v>
      </c>
    </row>
    <row r="136" spans="1:15" ht="37.5">
      <c r="A136" s="5" t="s">
        <v>393</v>
      </c>
      <c r="B136" s="12" t="s">
        <v>358</v>
      </c>
      <c r="C136" s="2" t="s">
        <v>352</v>
      </c>
      <c r="D136" s="2"/>
      <c r="E136" s="2"/>
      <c r="F136" s="2"/>
      <c r="G136" s="11">
        <v>94.9</v>
      </c>
      <c r="H136" s="11">
        <v>97</v>
      </c>
      <c r="I136" s="11">
        <v>152.4</v>
      </c>
      <c r="J136" s="11">
        <v>158.2</v>
      </c>
      <c r="K136" s="11">
        <v>158.2</v>
      </c>
      <c r="L136" s="11">
        <v>164.6</v>
      </c>
      <c r="M136" s="11">
        <v>164.6</v>
      </c>
      <c r="N136" s="11">
        <v>171.2</v>
      </c>
      <c r="O136" s="11">
        <v>171.2</v>
      </c>
    </row>
    <row r="137" spans="1:15" ht="18.75">
      <c r="A137" s="10" t="s">
        <v>394</v>
      </c>
      <c r="B137" s="12" t="s">
        <v>359</v>
      </c>
      <c r="C137" s="2" t="s">
        <v>352</v>
      </c>
      <c r="D137" s="2"/>
      <c r="E137" s="2"/>
      <c r="F137" s="2"/>
      <c r="G137" s="11">
        <v>53.1</v>
      </c>
      <c r="H137" s="11">
        <v>62.3</v>
      </c>
      <c r="I137" s="11">
        <v>66.6</v>
      </c>
      <c r="J137" s="11">
        <v>73.3</v>
      </c>
      <c r="K137" s="11">
        <v>73.3</v>
      </c>
      <c r="L137" s="11">
        <v>80.6</v>
      </c>
      <c r="M137" s="11">
        <v>80.6</v>
      </c>
      <c r="N137" s="11">
        <v>88.7</v>
      </c>
      <c r="O137" s="11">
        <v>88.7</v>
      </c>
    </row>
    <row r="138" spans="1:15" ht="18.75">
      <c r="A138" s="5" t="s">
        <v>395</v>
      </c>
      <c r="B138" s="12" t="s">
        <v>360</v>
      </c>
      <c r="C138" s="2" t="s">
        <v>352</v>
      </c>
      <c r="D138" s="2"/>
      <c r="E138" s="2"/>
      <c r="F138" s="2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8.75">
      <c r="A139" s="148" t="s">
        <v>396</v>
      </c>
      <c r="B139" s="12" t="s">
        <v>361</v>
      </c>
      <c r="C139" s="2" t="s">
        <v>352</v>
      </c>
      <c r="D139" s="2"/>
      <c r="E139" s="2"/>
      <c r="F139" s="2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8.75">
      <c r="A140" s="144" t="s">
        <v>397</v>
      </c>
      <c r="B140" s="12" t="s">
        <v>362</v>
      </c>
      <c r="C140" s="2" t="s">
        <v>352</v>
      </c>
      <c r="D140" s="2"/>
      <c r="E140" s="2"/>
      <c r="F140" s="2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8.75">
      <c r="A141" s="147" t="s">
        <v>398</v>
      </c>
      <c r="B141" s="12" t="s">
        <v>363</v>
      </c>
      <c r="C141" s="2" t="s">
        <v>352</v>
      </c>
      <c r="D141" s="2"/>
      <c r="E141" s="2"/>
      <c r="F141" s="2"/>
      <c r="G141" s="11">
        <v>14.6</v>
      </c>
      <c r="H141" s="11">
        <v>137.7</v>
      </c>
      <c r="I141" s="11">
        <v>137</v>
      </c>
      <c r="J141" s="11">
        <v>85.3</v>
      </c>
      <c r="K141" s="11">
        <v>85.3</v>
      </c>
      <c r="L141" s="11">
        <v>85.3</v>
      </c>
      <c r="M141" s="11">
        <v>85.3</v>
      </c>
      <c r="N141" s="11">
        <v>85.3</v>
      </c>
      <c r="O141" s="11">
        <v>85.3</v>
      </c>
    </row>
    <row r="142" spans="1:15" ht="19.5">
      <c r="A142" s="5" t="s">
        <v>399</v>
      </c>
      <c r="B142" s="143" t="s">
        <v>364</v>
      </c>
      <c r="C142" s="2" t="s">
        <v>352</v>
      </c>
      <c r="D142" s="2"/>
      <c r="E142" s="2"/>
      <c r="F142" s="2"/>
      <c r="G142" s="11">
        <v>144.8</v>
      </c>
      <c r="H142" s="11">
        <v>79.1</v>
      </c>
      <c r="I142" s="11">
        <v>112.5</v>
      </c>
      <c r="J142" s="11">
        <v>129.6</v>
      </c>
      <c r="K142" s="11">
        <v>129.6</v>
      </c>
      <c r="L142" s="11">
        <v>128.2</v>
      </c>
      <c r="M142" s="11">
        <v>128.2</v>
      </c>
      <c r="N142" s="11">
        <v>127.4</v>
      </c>
      <c r="O142" s="11">
        <v>127.4</v>
      </c>
    </row>
    <row r="143" spans="1:15" ht="19.5">
      <c r="A143" s="5" t="s">
        <v>400</v>
      </c>
      <c r="B143" s="143" t="s">
        <v>365</v>
      </c>
      <c r="C143" s="2" t="s">
        <v>352</v>
      </c>
      <c r="D143" s="2"/>
      <c r="E143" s="2"/>
      <c r="F143" s="2"/>
      <c r="G143" s="15">
        <v>1815.3</v>
      </c>
      <c r="H143" s="15">
        <v>1922.2</v>
      </c>
      <c r="I143" s="15">
        <v>3328.3</v>
      </c>
      <c r="J143" s="15">
        <v>2127.7</v>
      </c>
      <c r="K143" s="15">
        <v>2127.7</v>
      </c>
      <c r="L143" s="15">
        <v>1674</v>
      </c>
      <c r="M143" s="15">
        <v>1674</v>
      </c>
      <c r="N143" s="15">
        <v>1387.1</v>
      </c>
      <c r="O143" s="15">
        <v>1387.1</v>
      </c>
    </row>
    <row r="144" spans="1:15" ht="37.5">
      <c r="A144" s="10" t="s">
        <v>401</v>
      </c>
      <c r="B144" s="3" t="s">
        <v>421</v>
      </c>
      <c r="C144" s="2" t="s">
        <v>352</v>
      </c>
      <c r="D144" s="2"/>
      <c r="E144" s="2"/>
      <c r="F144" s="2"/>
      <c r="G144" s="15">
        <v>0</v>
      </c>
      <c r="H144" s="15">
        <v>241.7</v>
      </c>
      <c r="I144" s="15">
        <v>760.9</v>
      </c>
      <c r="J144" s="15">
        <v>372.3</v>
      </c>
      <c r="K144" s="15">
        <v>372.3</v>
      </c>
      <c r="L144" s="15">
        <v>329.4</v>
      </c>
      <c r="M144" s="15">
        <v>329.4</v>
      </c>
      <c r="N144" s="15">
        <v>45.4</v>
      </c>
      <c r="O144" s="15">
        <v>45.4</v>
      </c>
    </row>
    <row r="145" spans="1:15" ht="18.75">
      <c r="A145" s="10" t="s">
        <v>402</v>
      </c>
      <c r="B145" s="3" t="s">
        <v>366</v>
      </c>
      <c r="C145" s="2" t="s">
        <v>352</v>
      </c>
      <c r="D145" s="2"/>
      <c r="E145" s="2"/>
      <c r="F145" s="2"/>
      <c r="G145" s="15">
        <v>352.7</v>
      </c>
      <c r="H145" s="15">
        <v>106.3</v>
      </c>
      <c r="I145" s="15">
        <v>498.1</v>
      </c>
      <c r="J145" s="15">
        <v>470.4</v>
      </c>
      <c r="K145" s="15">
        <v>470.4</v>
      </c>
      <c r="L145" s="15">
        <v>89.4</v>
      </c>
      <c r="M145" s="15">
        <v>89.4</v>
      </c>
      <c r="N145" s="15">
        <v>89.4</v>
      </c>
      <c r="O145" s="15">
        <v>89.4</v>
      </c>
    </row>
    <row r="146" spans="1:15" ht="18.75">
      <c r="A146" s="5" t="s">
        <v>403</v>
      </c>
      <c r="B146" s="3" t="s">
        <v>367</v>
      </c>
      <c r="C146" s="2" t="s">
        <v>352</v>
      </c>
      <c r="D146" s="2"/>
      <c r="E146" s="2"/>
      <c r="F146" s="2"/>
      <c r="G146" s="15">
        <v>0</v>
      </c>
      <c r="H146" s="15">
        <v>0.1</v>
      </c>
      <c r="I146" s="15">
        <v>1.4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</row>
    <row r="147" spans="1:15" ht="18.75">
      <c r="A147" s="5" t="s">
        <v>405</v>
      </c>
      <c r="B147" s="3" t="s">
        <v>368</v>
      </c>
      <c r="C147" s="2" t="s">
        <v>352</v>
      </c>
      <c r="D147" s="2"/>
      <c r="E147" s="2"/>
      <c r="F147" s="2"/>
      <c r="G147" s="15">
        <v>0</v>
      </c>
      <c r="H147" s="15">
        <v>0.6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</row>
    <row r="148" spans="1:15" ht="37.5">
      <c r="A148" s="10" t="s">
        <v>404</v>
      </c>
      <c r="B148" s="3" t="s">
        <v>369</v>
      </c>
      <c r="C148" s="2" t="s">
        <v>352</v>
      </c>
      <c r="D148" s="2"/>
      <c r="E148" s="2"/>
      <c r="F148" s="2"/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</row>
    <row r="149" spans="1:15" ht="39">
      <c r="A149" s="5" t="s">
        <v>406</v>
      </c>
      <c r="B149" s="13" t="s">
        <v>370</v>
      </c>
      <c r="C149" s="2" t="s">
        <v>352</v>
      </c>
      <c r="D149" s="2"/>
      <c r="E149" s="2"/>
      <c r="F149" s="2"/>
      <c r="G149" s="145">
        <f>SUM(G150:G163)</f>
        <v>2712</v>
      </c>
      <c r="H149" s="145">
        <f aca="true" t="shared" si="11" ref="H149:O149">SUM(H150:H163)</f>
        <v>3005.2000000000003</v>
      </c>
      <c r="I149" s="145">
        <f t="shared" si="11"/>
        <v>4328.139999999999</v>
      </c>
      <c r="J149" s="145">
        <f t="shared" si="11"/>
        <v>3083.4399999999996</v>
      </c>
      <c r="K149" s="145">
        <f t="shared" si="11"/>
        <v>3083.4399999999996</v>
      </c>
      <c r="L149" s="145">
        <f t="shared" si="11"/>
        <v>2652.0099999999998</v>
      </c>
      <c r="M149" s="145">
        <f t="shared" si="11"/>
        <v>2651.9899999999993</v>
      </c>
      <c r="N149" s="145">
        <f t="shared" si="11"/>
        <v>2388.1899999999996</v>
      </c>
      <c r="O149" s="145">
        <f t="shared" si="11"/>
        <v>2388.2199999999993</v>
      </c>
    </row>
    <row r="150" spans="1:15" ht="18.75">
      <c r="A150" s="144" t="s">
        <v>407</v>
      </c>
      <c r="B150" s="12" t="s">
        <v>371</v>
      </c>
      <c r="C150" s="2" t="s">
        <v>352</v>
      </c>
      <c r="D150" s="2"/>
      <c r="E150" s="2"/>
      <c r="F150" s="2"/>
      <c r="G150" s="145">
        <v>116.7</v>
      </c>
      <c r="H150" s="145">
        <v>86.6</v>
      </c>
      <c r="I150" s="145">
        <v>101.43</v>
      </c>
      <c r="J150" s="145">
        <v>62.6</v>
      </c>
      <c r="K150" s="145">
        <v>62.6</v>
      </c>
      <c r="L150" s="145">
        <v>62.82</v>
      </c>
      <c r="M150" s="145">
        <v>62.8</v>
      </c>
      <c r="N150" s="145">
        <v>62.77</v>
      </c>
      <c r="O150" s="145">
        <v>62.8</v>
      </c>
    </row>
    <row r="151" spans="1:15" ht="18.75">
      <c r="A151" s="10" t="s">
        <v>408</v>
      </c>
      <c r="B151" s="12" t="s">
        <v>372</v>
      </c>
      <c r="C151" s="2" t="s">
        <v>352</v>
      </c>
      <c r="D151" s="2"/>
      <c r="E151" s="2"/>
      <c r="F151" s="2"/>
      <c r="G151" s="145">
        <v>0</v>
      </c>
      <c r="H151" s="145">
        <v>0</v>
      </c>
      <c r="I151" s="145">
        <v>0</v>
      </c>
      <c r="J151" s="145">
        <v>0</v>
      </c>
      <c r="K151" s="145">
        <v>0</v>
      </c>
      <c r="L151" s="145">
        <v>0</v>
      </c>
      <c r="M151" s="145">
        <v>0</v>
      </c>
      <c r="N151" s="145">
        <v>0</v>
      </c>
      <c r="O151" s="145">
        <v>0</v>
      </c>
    </row>
    <row r="152" spans="1:15" ht="37.5">
      <c r="A152" s="5" t="s">
        <v>409</v>
      </c>
      <c r="B152" s="12" t="s">
        <v>373</v>
      </c>
      <c r="C152" s="2" t="s">
        <v>352</v>
      </c>
      <c r="D152" s="2"/>
      <c r="E152" s="2"/>
      <c r="F152" s="2"/>
      <c r="G152" s="145">
        <v>4.2</v>
      </c>
      <c r="H152" s="145">
        <v>6.5</v>
      </c>
      <c r="I152" s="145">
        <v>6.57</v>
      </c>
      <c r="J152" s="145">
        <v>4.1</v>
      </c>
      <c r="K152" s="145">
        <v>4.1</v>
      </c>
      <c r="L152" s="145">
        <v>3.6</v>
      </c>
      <c r="M152" s="145">
        <v>3.6</v>
      </c>
      <c r="N152" s="145">
        <v>3.6</v>
      </c>
      <c r="O152" s="145">
        <v>3.6</v>
      </c>
    </row>
    <row r="153" spans="1:15" ht="18.75">
      <c r="A153" s="5" t="s">
        <v>410</v>
      </c>
      <c r="B153" s="12" t="s">
        <v>374</v>
      </c>
      <c r="C153" s="2" t="s">
        <v>352</v>
      </c>
      <c r="D153" s="2"/>
      <c r="E153" s="2"/>
      <c r="F153" s="2"/>
      <c r="G153" s="145">
        <v>364.1</v>
      </c>
      <c r="H153" s="145">
        <v>686.2</v>
      </c>
      <c r="I153" s="145">
        <v>881.09</v>
      </c>
      <c r="J153" s="145">
        <v>155.9</v>
      </c>
      <c r="K153" s="145">
        <v>155.9</v>
      </c>
      <c r="L153" s="145">
        <v>134.7</v>
      </c>
      <c r="M153" s="145">
        <v>134.7</v>
      </c>
      <c r="N153" s="145">
        <v>134.7</v>
      </c>
      <c r="O153" s="145">
        <v>134.7</v>
      </c>
    </row>
    <row r="154" spans="1:15" ht="18.75">
      <c r="A154" s="10" t="s">
        <v>411</v>
      </c>
      <c r="B154" s="12" t="s">
        <v>375</v>
      </c>
      <c r="C154" s="2" t="s">
        <v>352</v>
      </c>
      <c r="D154" s="2"/>
      <c r="E154" s="2"/>
      <c r="F154" s="2"/>
      <c r="G154" s="145">
        <v>273</v>
      </c>
      <c r="H154" s="145">
        <v>433.8</v>
      </c>
      <c r="I154" s="145">
        <v>1106.02</v>
      </c>
      <c r="J154" s="145">
        <v>694.5</v>
      </c>
      <c r="K154" s="145">
        <v>694.5</v>
      </c>
      <c r="L154" s="145">
        <v>460.8</v>
      </c>
      <c r="M154" s="145">
        <v>460.8</v>
      </c>
      <c r="N154" s="145">
        <v>169.5</v>
      </c>
      <c r="O154" s="145">
        <v>169.5</v>
      </c>
    </row>
    <row r="155" spans="1:15" ht="18.75">
      <c r="A155" s="5" t="s">
        <v>412</v>
      </c>
      <c r="B155" s="12" t="s">
        <v>376</v>
      </c>
      <c r="C155" s="2" t="s">
        <v>352</v>
      </c>
      <c r="D155" s="2"/>
      <c r="E155" s="2"/>
      <c r="F155" s="2"/>
      <c r="G155" s="145">
        <v>0</v>
      </c>
      <c r="H155" s="145">
        <v>0</v>
      </c>
      <c r="I155" s="145">
        <v>0.49</v>
      </c>
      <c r="J155" s="145">
        <v>0.39</v>
      </c>
      <c r="K155" s="145">
        <v>0.39</v>
      </c>
      <c r="L155" s="145">
        <v>0.39</v>
      </c>
      <c r="M155" s="145">
        <v>0.39</v>
      </c>
      <c r="N155" s="145">
        <v>0.39</v>
      </c>
      <c r="O155" s="145">
        <v>0.39</v>
      </c>
    </row>
    <row r="156" spans="1:15" ht="18.75">
      <c r="A156" s="5" t="s">
        <v>413</v>
      </c>
      <c r="B156" s="12" t="s">
        <v>377</v>
      </c>
      <c r="C156" s="2" t="s">
        <v>352</v>
      </c>
      <c r="D156" s="2"/>
      <c r="E156" s="2"/>
      <c r="F156" s="2"/>
      <c r="G156" s="145">
        <v>1829.1</v>
      </c>
      <c r="H156" s="145">
        <v>1673.8</v>
      </c>
      <c r="I156" s="145">
        <v>2101.55</v>
      </c>
      <c r="J156" s="145">
        <v>2058.3</v>
      </c>
      <c r="K156" s="145">
        <v>2058.3</v>
      </c>
      <c r="L156" s="145">
        <v>1852.2</v>
      </c>
      <c r="M156" s="145">
        <v>1852.2</v>
      </c>
      <c r="N156" s="145">
        <v>1855.1</v>
      </c>
      <c r="O156" s="145">
        <v>1855.1</v>
      </c>
    </row>
    <row r="157" spans="1:15" ht="18.75">
      <c r="A157" s="10" t="s">
        <v>414</v>
      </c>
      <c r="B157" s="12" t="s">
        <v>378</v>
      </c>
      <c r="C157" s="2" t="s">
        <v>352</v>
      </c>
      <c r="D157" s="2"/>
      <c r="E157" s="2"/>
      <c r="F157" s="2"/>
      <c r="G157" s="145">
        <v>38.4</v>
      </c>
      <c r="H157" s="145">
        <v>25.8</v>
      </c>
      <c r="I157" s="145">
        <v>41.88</v>
      </c>
      <c r="J157" s="145">
        <v>21</v>
      </c>
      <c r="K157" s="145">
        <v>21</v>
      </c>
      <c r="L157" s="145">
        <v>21.95</v>
      </c>
      <c r="M157" s="145">
        <v>21.95</v>
      </c>
      <c r="N157" s="145">
        <v>21.95</v>
      </c>
      <c r="O157" s="145">
        <v>21.95</v>
      </c>
    </row>
    <row r="158" spans="1:15" ht="18.75">
      <c r="A158" s="5" t="s">
        <v>415</v>
      </c>
      <c r="B158" s="12" t="s">
        <v>379</v>
      </c>
      <c r="C158" s="2" t="s">
        <v>352</v>
      </c>
      <c r="D158" s="2"/>
      <c r="E158" s="2"/>
      <c r="F158" s="2"/>
      <c r="G158" s="145">
        <v>0</v>
      </c>
      <c r="H158" s="145">
        <v>0</v>
      </c>
      <c r="I158" s="145">
        <v>0</v>
      </c>
      <c r="J158" s="145">
        <v>0</v>
      </c>
      <c r="K158" s="145">
        <v>0</v>
      </c>
      <c r="L158" s="145">
        <v>0</v>
      </c>
      <c r="M158" s="145">
        <v>0</v>
      </c>
      <c r="N158" s="145">
        <v>0</v>
      </c>
      <c r="O158" s="145">
        <v>0</v>
      </c>
    </row>
    <row r="159" spans="1:15" ht="18.75">
      <c r="A159" s="5" t="s">
        <v>416</v>
      </c>
      <c r="B159" s="12" t="s">
        <v>380</v>
      </c>
      <c r="C159" s="2" t="s">
        <v>352</v>
      </c>
      <c r="D159" s="2"/>
      <c r="E159" s="2"/>
      <c r="F159" s="2"/>
      <c r="G159" s="145">
        <v>65.8</v>
      </c>
      <c r="H159" s="145">
        <v>73.9</v>
      </c>
      <c r="I159" s="145">
        <v>70.22</v>
      </c>
      <c r="J159" s="145">
        <v>66.7</v>
      </c>
      <c r="K159" s="145">
        <v>66.7</v>
      </c>
      <c r="L159" s="145">
        <v>64.29</v>
      </c>
      <c r="M159" s="145">
        <v>64.29</v>
      </c>
      <c r="N159" s="145">
        <v>60.95</v>
      </c>
      <c r="O159" s="145">
        <v>60.95</v>
      </c>
    </row>
    <row r="160" spans="1:15" ht="18.75">
      <c r="A160" s="10" t="s">
        <v>417</v>
      </c>
      <c r="B160" s="12" t="s">
        <v>381</v>
      </c>
      <c r="C160" s="2" t="s">
        <v>352</v>
      </c>
      <c r="D160" s="2"/>
      <c r="E160" s="2"/>
      <c r="F160" s="2"/>
      <c r="G160" s="145">
        <v>5</v>
      </c>
      <c r="H160" s="145">
        <v>5.2</v>
      </c>
      <c r="I160" s="145">
        <v>5.78</v>
      </c>
      <c r="J160" s="145">
        <v>4.22</v>
      </c>
      <c r="K160" s="145">
        <v>4.22</v>
      </c>
      <c r="L160" s="145">
        <v>4.93</v>
      </c>
      <c r="M160" s="145">
        <v>4.93</v>
      </c>
      <c r="N160" s="145">
        <v>4.93</v>
      </c>
      <c r="O160" s="145">
        <v>4.93</v>
      </c>
    </row>
    <row r="161" spans="1:15" ht="18.75">
      <c r="A161" s="5" t="s">
        <v>418</v>
      </c>
      <c r="B161" s="12" t="s">
        <v>382</v>
      </c>
      <c r="C161" s="2" t="s">
        <v>352</v>
      </c>
      <c r="D161" s="2"/>
      <c r="E161" s="2"/>
      <c r="F161" s="2"/>
      <c r="G161" s="145">
        <v>4.5</v>
      </c>
      <c r="H161" s="145">
        <v>3.8</v>
      </c>
      <c r="I161" s="145">
        <v>4.23</v>
      </c>
      <c r="J161" s="145">
        <v>2.94</v>
      </c>
      <c r="K161" s="145">
        <v>2.94</v>
      </c>
      <c r="L161" s="145">
        <v>2.94</v>
      </c>
      <c r="M161" s="145">
        <v>2.94</v>
      </c>
      <c r="N161" s="145">
        <v>2.94</v>
      </c>
      <c r="O161" s="145">
        <v>2.94</v>
      </c>
    </row>
    <row r="162" spans="1:15" ht="37.5">
      <c r="A162" s="5" t="s">
        <v>419</v>
      </c>
      <c r="B162" s="12" t="s">
        <v>383</v>
      </c>
      <c r="C162" s="2" t="s">
        <v>352</v>
      </c>
      <c r="D162" s="2"/>
      <c r="E162" s="2"/>
      <c r="F162" s="2"/>
      <c r="G162" s="145">
        <v>11.2</v>
      </c>
      <c r="H162" s="145">
        <v>9.6</v>
      </c>
      <c r="I162" s="145">
        <v>8.88</v>
      </c>
      <c r="J162" s="145">
        <v>12.79</v>
      </c>
      <c r="K162" s="145">
        <v>12.79</v>
      </c>
      <c r="L162" s="145">
        <v>15.99</v>
      </c>
      <c r="M162" s="145">
        <v>15.99</v>
      </c>
      <c r="N162" s="145">
        <v>18.79</v>
      </c>
      <c r="O162" s="145">
        <v>18.79</v>
      </c>
    </row>
    <row r="163" spans="1:15" ht="18.75" hidden="1">
      <c r="A163" s="5"/>
      <c r="B163" s="12" t="s">
        <v>422</v>
      </c>
      <c r="C163" s="2"/>
      <c r="D163" s="2"/>
      <c r="E163" s="2"/>
      <c r="F163" s="2"/>
      <c r="G163" s="145"/>
      <c r="H163" s="145"/>
      <c r="I163" s="145"/>
      <c r="J163" s="145"/>
      <c r="K163" s="145"/>
      <c r="L163" s="145">
        <v>27.4</v>
      </c>
      <c r="M163" s="145">
        <v>27.4</v>
      </c>
      <c r="N163" s="145">
        <v>52.57</v>
      </c>
      <c r="O163" s="145">
        <v>52.57</v>
      </c>
    </row>
    <row r="164" spans="1:15" ht="39">
      <c r="A164" s="10" t="s">
        <v>420</v>
      </c>
      <c r="B164" s="143" t="s">
        <v>384</v>
      </c>
      <c r="C164" s="2" t="s">
        <v>352</v>
      </c>
      <c r="D164" s="2"/>
      <c r="E164" s="2"/>
      <c r="F164" s="2"/>
      <c r="G164" s="11">
        <v>-24.199999999999818</v>
      </c>
      <c r="H164" s="11">
        <v>-26.199999999999818</v>
      </c>
      <c r="I164" s="11">
        <v>-81.59999999999991</v>
      </c>
      <c r="J164" s="11">
        <v>-46.700000000000045</v>
      </c>
      <c r="K164" s="11">
        <v>-46.70000000000027</v>
      </c>
      <c r="L164" s="11">
        <v>-28.5</v>
      </c>
      <c r="M164" s="11">
        <v>-28.5</v>
      </c>
      <c r="N164" s="11">
        <v>-25.799999999999955</v>
      </c>
      <c r="O164" s="11">
        <v>-25.799999999999955</v>
      </c>
    </row>
    <row r="165" spans="1:15" ht="18.75">
      <c r="A165" s="5" t="s">
        <v>423</v>
      </c>
      <c r="B165" s="36" t="s">
        <v>385</v>
      </c>
      <c r="C165" s="2" t="s">
        <v>352</v>
      </c>
      <c r="D165" s="2"/>
      <c r="E165" s="2"/>
      <c r="F165" s="2"/>
      <c r="G165" s="43">
        <v>514.6</v>
      </c>
      <c r="H165" s="43">
        <v>545.6</v>
      </c>
      <c r="I165" s="43">
        <v>554.5</v>
      </c>
      <c r="J165" s="11">
        <v>596.8</v>
      </c>
      <c r="K165" s="11">
        <v>596.8</v>
      </c>
      <c r="L165" s="11">
        <v>619.1</v>
      </c>
      <c r="M165" s="11">
        <v>619.1</v>
      </c>
      <c r="N165" s="11">
        <v>619.1</v>
      </c>
      <c r="O165" s="11">
        <v>619.1</v>
      </c>
    </row>
  </sheetData>
  <sheetProtection/>
  <mergeCells count="18">
    <mergeCell ref="I9:I11"/>
    <mergeCell ref="G9:G11"/>
    <mergeCell ref="A8:A11"/>
    <mergeCell ref="B8:B11"/>
    <mergeCell ref="C8:C11"/>
    <mergeCell ref="D9:D11"/>
    <mergeCell ref="E9:E11"/>
    <mergeCell ref="F9:F11"/>
    <mergeCell ref="K1:O1"/>
    <mergeCell ref="K2:O2"/>
    <mergeCell ref="J9:K9"/>
    <mergeCell ref="L9:M9"/>
    <mergeCell ref="N9:O9"/>
    <mergeCell ref="J8:O8"/>
    <mergeCell ref="A4:O4"/>
    <mergeCell ref="A6:O6"/>
    <mergeCell ref="A5:O5"/>
    <mergeCell ref="H9:H11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62" r:id="rId1"/>
  <rowBreaks count="4" manualBreakCount="4">
    <brk id="27" max="14" man="1"/>
    <brk id="47" max="14" man="1"/>
    <brk id="67" max="14" man="1"/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2:G50"/>
  <sheetViews>
    <sheetView zoomScale="130" zoomScaleNormal="130" zoomScalePageLayoutView="0" workbookViewId="0" topLeftCell="A4">
      <selection activeCell="B52" sqref="B52"/>
    </sheetView>
  </sheetViews>
  <sheetFormatPr defaultColWidth="9.00390625" defaultRowHeight="12.75"/>
  <cols>
    <col min="1" max="1" width="4.125" style="0" customWidth="1"/>
    <col min="2" max="2" width="28.125" style="0" customWidth="1"/>
    <col min="4" max="4" width="16.625" style="0" customWidth="1"/>
    <col min="5" max="5" width="10.875" style="0" customWidth="1"/>
  </cols>
  <sheetData>
    <row r="12" spans="1:7" ht="25.5">
      <c r="A12" s="24" t="s">
        <v>265</v>
      </c>
      <c r="B12" s="54" t="s">
        <v>125</v>
      </c>
      <c r="C12" s="27">
        <v>107183</v>
      </c>
      <c r="D12" s="28" t="s">
        <v>128</v>
      </c>
      <c r="E12" s="176" t="s">
        <v>269</v>
      </c>
      <c r="F12" s="176"/>
      <c r="G12" s="176"/>
    </row>
    <row r="13" spans="1:7" ht="51.75" customHeight="1">
      <c r="A13" s="49">
        <v>1</v>
      </c>
      <c r="B13" s="65" t="s">
        <v>126</v>
      </c>
      <c r="C13" s="66">
        <f>30318-3640</f>
        <v>26678</v>
      </c>
      <c r="D13" s="45" t="s">
        <v>271</v>
      </c>
      <c r="E13" s="177" t="s">
        <v>272</v>
      </c>
      <c r="F13" s="177"/>
      <c r="G13" s="177"/>
    </row>
    <row r="14" spans="1:7" ht="24" customHeight="1">
      <c r="A14" s="49">
        <v>2</v>
      </c>
      <c r="B14" s="65" t="s">
        <v>127</v>
      </c>
      <c r="C14" s="66">
        <f>29385-3000+5447+1560</f>
        <v>33392</v>
      </c>
      <c r="D14" s="45" t="s">
        <v>270</v>
      </c>
      <c r="E14" s="178" t="s">
        <v>268</v>
      </c>
      <c r="F14" s="178"/>
      <c r="G14" s="178"/>
    </row>
    <row r="15" spans="1:7" ht="12.75">
      <c r="A15" s="24">
        <v>3</v>
      </c>
      <c r="B15" s="55" t="s">
        <v>260</v>
      </c>
      <c r="C15" s="58">
        <v>4382</v>
      </c>
      <c r="D15" s="173">
        <f>C15+C16+C17</f>
        <v>24506</v>
      </c>
      <c r="E15" s="164"/>
      <c r="F15" s="165"/>
      <c r="G15" s="166"/>
    </row>
    <row r="16" spans="1:7" ht="12.75">
      <c r="A16" s="24">
        <v>4</v>
      </c>
      <c r="B16" s="55" t="s">
        <v>261</v>
      </c>
      <c r="C16" s="58">
        <f>5099+1687</f>
        <v>6786</v>
      </c>
      <c r="D16" s="174"/>
      <c r="E16" s="167"/>
      <c r="F16" s="168"/>
      <c r="G16" s="169"/>
    </row>
    <row r="17" spans="1:7" ht="12.75">
      <c r="A17" s="24">
        <v>5</v>
      </c>
      <c r="B17" s="55" t="s">
        <v>262</v>
      </c>
      <c r="C17" s="58">
        <f>1612+9140+2586</f>
        <v>13338</v>
      </c>
      <c r="D17" s="175"/>
      <c r="E17" s="170"/>
      <c r="F17" s="171"/>
      <c r="G17" s="172"/>
    </row>
    <row r="18" spans="1:4" ht="12.75">
      <c r="A18" s="24">
        <v>6</v>
      </c>
      <c r="B18" s="55" t="s">
        <v>263</v>
      </c>
      <c r="C18" s="58">
        <v>6698</v>
      </c>
      <c r="D18" s="173">
        <f>C18+C19</f>
        <v>14130</v>
      </c>
    </row>
    <row r="19" spans="1:4" ht="12.75">
      <c r="A19" s="24">
        <v>7</v>
      </c>
      <c r="B19" s="55" t="s">
        <v>264</v>
      </c>
      <c r="C19" s="58">
        <f>7432</f>
        <v>7432</v>
      </c>
      <c r="D19" s="175"/>
    </row>
    <row r="20" spans="1:4" ht="12.75">
      <c r="A20" s="24">
        <v>8</v>
      </c>
      <c r="B20" s="55" t="s">
        <v>129</v>
      </c>
      <c r="C20" s="58">
        <f>103+34</f>
        <v>137</v>
      </c>
      <c r="D20" s="24"/>
    </row>
    <row r="21" spans="1:4" ht="12.75">
      <c r="A21" s="24">
        <v>9</v>
      </c>
      <c r="B21" s="55" t="s">
        <v>130</v>
      </c>
      <c r="C21" s="58">
        <v>96</v>
      </c>
      <c r="D21" s="24"/>
    </row>
    <row r="22" spans="1:4" ht="12.75">
      <c r="A22" s="24"/>
      <c r="B22" s="55"/>
      <c r="C22" s="58"/>
      <c r="D22" s="24"/>
    </row>
    <row r="23" spans="1:4" ht="12.75">
      <c r="A23" s="24">
        <v>10</v>
      </c>
      <c r="B23" s="56" t="s">
        <v>132</v>
      </c>
      <c r="C23" s="59">
        <f>SUM(C13:C22)</f>
        <v>98939</v>
      </c>
      <c r="D23" s="24"/>
    </row>
    <row r="24" spans="1:4" ht="19.5" customHeight="1">
      <c r="A24" s="24">
        <v>11</v>
      </c>
      <c r="B24" s="64" t="s">
        <v>267</v>
      </c>
      <c r="C24" s="60">
        <f>C12-C23</f>
        <v>8244</v>
      </c>
      <c r="D24" s="24"/>
    </row>
    <row r="25" spans="1:4" ht="12.75">
      <c r="A25" s="24"/>
      <c r="B25" s="26"/>
      <c r="C25" s="26"/>
      <c r="D25" s="24"/>
    </row>
    <row r="26" spans="1:4" ht="12.75">
      <c r="A26" s="24">
        <v>12</v>
      </c>
      <c r="B26" s="55" t="s">
        <v>131</v>
      </c>
      <c r="C26" s="61">
        <v>396</v>
      </c>
      <c r="D26" s="176"/>
    </row>
    <row r="27" spans="1:4" ht="12.75">
      <c r="A27" s="24">
        <v>13</v>
      </c>
      <c r="B27" s="55" t="s">
        <v>133</v>
      </c>
      <c r="C27" s="62">
        <f>C24-C26-C30</f>
        <v>7080</v>
      </c>
      <c r="D27" s="176"/>
    </row>
    <row r="28" spans="1:4" s="53" customFormat="1" ht="38.25">
      <c r="A28" s="25">
        <v>15</v>
      </c>
      <c r="B28" s="57" t="s">
        <v>273</v>
      </c>
      <c r="C28" s="63">
        <f>C14+C18++C19+C20+C21+C27+C30</f>
        <v>55603</v>
      </c>
      <c r="D28" s="25"/>
    </row>
    <row r="30" spans="1:4" ht="15" customHeight="1">
      <c r="A30" s="24">
        <v>14</v>
      </c>
      <c r="B30" s="24" t="s">
        <v>259</v>
      </c>
      <c r="C30" s="62">
        <v>768</v>
      </c>
      <c r="D30" s="24"/>
    </row>
    <row r="33" spans="1:7" ht="25.5">
      <c r="A33" s="24" t="s">
        <v>265</v>
      </c>
      <c r="B33" s="54" t="s">
        <v>125</v>
      </c>
      <c r="C33" s="27">
        <v>107183</v>
      </c>
      <c r="D33" s="28" t="s">
        <v>128</v>
      </c>
      <c r="E33" s="176" t="s">
        <v>269</v>
      </c>
      <c r="F33" s="176"/>
      <c r="G33" s="176"/>
    </row>
    <row r="34" spans="1:7" ht="12.75">
      <c r="A34" s="49">
        <v>1</v>
      </c>
      <c r="B34" s="65" t="s">
        <v>126</v>
      </c>
      <c r="C34" s="66">
        <f>30318-3640</f>
        <v>26678</v>
      </c>
      <c r="D34" s="45" t="s">
        <v>271</v>
      </c>
      <c r="E34" s="177" t="s">
        <v>272</v>
      </c>
      <c r="F34" s="177"/>
      <c r="G34" s="177"/>
    </row>
    <row r="35" spans="1:7" ht="25.5">
      <c r="A35" s="49">
        <v>2</v>
      </c>
      <c r="B35" s="65" t="s">
        <v>127</v>
      </c>
      <c r="C35" s="66">
        <f>29385-3000+5447+1560</f>
        <v>33392</v>
      </c>
      <c r="D35" s="45" t="s">
        <v>270</v>
      </c>
      <c r="E35" s="178" t="s">
        <v>268</v>
      </c>
      <c r="F35" s="178"/>
      <c r="G35" s="178"/>
    </row>
    <row r="36" spans="1:7" ht="12.75">
      <c r="A36" s="24">
        <v>3</v>
      </c>
      <c r="B36" s="55" t="s">
        <v>260</v>
      </c>
      <c r="C36" s="58">
        <v>4382</v>
      </c>
      <c r="D36" s="173">
        <f>C36+C37+C38</f>
        <v>24506</v>
      </c>
      <c r="E36" s="164"/>
      <c r="F36" s="165"/>
      <c r="G36" s="166"/>
    </row>
    <row r="37" spans="1:7" ht="12.75">
      <c r="A37" s="24">
        <v>4</v>
      </c>
      <c r="B37" s="55" t="s">
        <v>261</v>
      </c>
      <c r="C37" s="58">
        <f>5099+1687</f>
        <v>6786</v>
      </c>
      <c r="D37" s="174"/>
      <c r="E37" s="167"/>
      <c r="F37" s="168"/>
      <c r="G37" s="169"/>
    </row>
    <row r="38" spans="1:7" ht="12.75">
      <c r="A38" s="24">
        <v>5</v>
      </c>
      <c r="B38" s="55" t="s">
        <v>262</v>
      </c>
      <c r="C38" s="58">
        <f>1612+9140+2586</f>
        <v>13338</v>
      </c>
      <c r="D38" s="175"/>
      <c r="E38" s="170"/>
      <c r="F38" s="171"/>
      <c r="G38" s="172"/>
    </row>
    <row r="39" spans="1:4" ht="12.75">
      <c r="A39" s="24">
        <v>6</v>
      </c>
      <c r="B39" s="55" t="s">
        <v>263</v>
      </c>
      <c r="C39" s="58">
        <v>6698</v>
      </c>
      <c r="D39" s="173">
        <f>C39+C40</f>
        <v>15035</v>
      </c>
    </row>
    <row r="40" spans="1:4" ht="12.75">
      <c r="A40" s="24">
        <v>7</v>
      </c>
      <c r="B40" s="55" t="s">
        <v>264</v>
      </c>
      <c r="C40" s="58">
        <v>8337</v>
      </c>
      <c r="D40" s="175"/>
    </row>
    <row r="41" spans="1:4" ht="12.75">
      <c r="A41" s="24">
        <v>8</v>
      </c>
      <c r="B41" s="55" t="s">
        <v>129</v>
      </c>
      <c r="C41" s="58">
        <f>103+34</f>
        <v>137</v>
      </c>
      <c r="D41" s="24"/>
    </row>
    <row r="42" spans="1:4" ht="12.75">
      <c r="A42" s="24">
        <v>9</v>
      </c>
      <c r="B42" s="55" t="s">
        <v>130</v>
      </c>
      <c r="C42" s="58">
        <v>96</v>
      </c>
      <c r="D42" s="24"/>
    </row>
    <row r="43" spans="1:4" ht="12.75">
      <c r="A43" s="24"/>
      <c r="B43" s="55"/>
      <c r="C43" s="58"/>
      <c r="D43" s="24"/>
    </row>
    <row r="44" spans="1:4" ht="12.75">
      <c r="A44" s="24">
        <v>10</v>
      </c>
      <c r="B44" s="56" t="s">
        <v>132</v>
      </c>
      <c r="C44" s="59">
        <f>SUM(C34:C43)</f>
        <v>99844</v>
      </c>
      <c r="D44" s="24"/>
    </row>
    <row r="45" spans="1:4" ht="12.75">
      <c r="A45" s="24">
        <v>11</v>
      </c>
      <c r="B45" s="64" t="s">
        <v>267</v>
      </c>
      <c r="C45" s="60">
        <f>C33-C44</f>
        <v>7339</v>
      </c>
      <c r="D45" s="24"/>
    </row>
    <row r="46" spans="1:4" ht="12.75">
      <c r="A46" s="24"/>
      <c r="B46" s="26"/>
      <c r="C46" s="26"/>
      <c r="D46" s="24"/>
    </row>
    <row r="47" spans="1:4" ht="12.75">
      <c r="A47" s="24">
        <v>12</v>
      </c>
      <c r="B47" s="55" t="s">
        <v>131</v>
      </c>
      <c r="C47" s="61">
        <v>396</v>
      </c>
      <c r="D47" s="176"/>
    </row>
    <row r="48" spans="1:4" ht="12.75">
      <c r="A48" s="24">
        <v>13</v>
      </c>
      <c r="B48" s="55" t="s">
        <v>133</v>
      </c>
      <c r="C48" s="62">
        <f>C45-C47-C49</f>
        <v>6175</v>
      </c>
      <c r="D48" s="176"/>
    </row>
    <row r="49" spans="1:4" ht="12.75">
      <c r="A49" s="24">
        <v>14</v>
      </c>
      <c r="B49" s="24" t="s">
        <v>259</v>
      </c>
      <c r="C49" s="62">
        <v>768</v>
      </c>
      <c r="D49" s="24"/>
    </row>
    <row r="50" spans="1:7" ht="25.5">
      <c r="A50" s="25">
        <v>15</v>
      </c>
      <c r="B50" s="57" t="s">
        <v>266</v>
      </c>
      <c r="C50" s="63">
        <f>C35+C39++C40+C41+C42+C48+C49</f>
        <v>55603</v>
      </c>
      <c r="D50" s="25"/>
      <c r="E50" s="53"/>
      <c r="F50" s="53"/>
      <c r="G50" s="53"/>
    </row>
  </sheetData>
  <sheetProtection/>
  <mergeCells count="14">
    <mergeCell ref="D39:D40"/>
    <mergeCell ref="D47:D48"/>
    <mergeCell ref="E12:G12"/>
    <mergeCell ref="E15:G17"/>
    <mergeCell ref="E33:G33"/>
    <mergeCell ref="E34:G34"/>
    <mergeCell ref="E35:G35"/>
    <mergeCell ref="D36:D38"/>
    <mergeCell ref="E36:G38"/>
    <mergeCell ref="D15:D17"/>
    <mergeCell ref="D18:D19"/>
    <mergeCell ref="D26:D27"/>
    <mergeCell ref="E13:G13"/>
    <mergeCell ref="E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0.625" style="0" customWidth="1"/>
    <col min="3" max="3" width="12.25390625" style="0" customWidth="1"/>
    <col min="4" max="4" width="20.25390625" style="0" customWidth="1"/>
  </cols>
  <sheetData>
    <row r="2" spans="1:4" ht="30" customHeight="1">
      <c r="A2" s="44" t="s">
        <v>256</v>
      </c>
      <c r="B2" s="50">
        <v>3056</v>
      </c>
      <c r="C2" s="24" t="s">
        <v>250</v>
      </c>
      <c r="D2" s="24"/>
    </row>
    <row r="3" spans="1:4" ht="30" customHeight="1">
      <c r="A3" s="44" t="s">
        <v>252</v>
      </c>
      <c r="B3" s="50">
        <f>8767*2</f>
        <v>17534</v>
      </c>
      <c r="C3" s="24" t="s">
        <v>251</v>
      </c>
      <c r="D3" s="24"/>
    </row>
    <row r="4" spans="1:4" ht="25.5">
      <c r="A4" s="46" t="s">
        <v>253</v>
      </c>
      <c r="B4" s="50"/>
      <c r="C4" s="24" t="s">
        <v>251</v>
      </c>
      <c r="D4" s="44" t="s">
        <v>258</v>
      </c>
    </row>
    <row r="5" spans="1:4" ht="12.75">
      <c r="A5" s="47" t="s">
        <v>254</v>
      </c>
      <c r="B5" s="51">
        <f>B2+B3+B4</f>
        <v>20590</v>
      </c>
      <c r="C5" s="24"/>
      <c r="D5" s="24"/>
    </row>
    <row r="6" spans="1:4" ht="12.75">
      <c r="A6" s="48" t="s">
        <v>257</v>
      </c>
      <c r="B6" s="50">
        <v>107183</v>
      </c>
      <c r="C6" s="24"/>
      <c r="D6" s="24"/>
    </row>
    <row r="7" spans="1:4" ht="28.5" customHeight="1">
      <c r="A7" s="44" t="s">
        <v>255</v>
      </c>
      <c r="B7" s="52">
        <f>B5/B6*100</f>
        <v>19.210135935736076</v>
      </c>
      <c r="C7" s="24"/>
      <c r="D7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40">
      <selection activeCell="G47" sqref="G47"/>
    </sheetView>
  </sheetViews>
  <sheetFormatPr defaultColWidth="9.00390625" defaultRowHeight="12.75"/>
  <cols>
    <col min="1" max="1" width="10.875" style="68" customWidth="1"/>
    <col min="2" max="2" width="40.75390625" style="68" customWidth="1"/>
    <col min="3" max="3" width="11.25390625" style="79" customWidth="1"/>
    <col min="4" max="4" width="19.875" style="68" customWidth="1"/>
    <col min="5" max="16384" width="9.125" style="68" customWidth="1"/>
  </cols>
  <sheetData>
    <row r="1" spans="1:4" ht="12.75">
      <c r="A1" s="180" t="s">
        <v>324</v>
      </c>
      <c r="B1" s="180"/>
      <c r="C1" s="180"/>
      <c r="D1" s="180"/>
    </row>
    <row r="2" spans="1:4" ht="12.75">
      <c r="A2" s="180"/>
      <c r="B2" s="180"/>
      <c r="C2" s="180"/>
      <c r="D2" s="180"/>
    </row>
    <row r="4" spans="1:4" ht="44.25" customHeight="1">
      <c r="A4" s="179" t="s">
        <v>274</v>
      </c>
      <c r="B4" s="179" t="s">
        <v>275</v>
      </c>
      <c r="C4" s="179" t="s">
        <v>312</v>
      </c>
      <c r="D4" s="179" t="s">
        <v>269</v>
      </c>
    </row>
    <row r="5" spans="1:4" ht="12.75">
      <c r="A5" s="179"/>
      <c r="B5" s="179"/>
      <c r="C5" s="179"/>
      <c r="D5" s="179"/>
    </row>
    <row r="6" spans="1:4" s="72" customFormat="1" ht="32.25" customHeight="1">
      <c r="A6" s="69" t="s">
        <v>276</v>
      </c>
      <c r="B6" s="70" t="s">
        <v>277</v>
      </c>
      <c r="C6" s="69">
        <f>C7</f>
        <v>61191</v>
      </c>
      <c r="D6" s="71"/>
    </row>
    <row r="7" spans="1:4" ht="18" customHeight="1">
      <c r="A7" s="179">
        <v>1</v>
      </c>
      <c r="B7" s="73" t="s">
        <v>278</v>
      </c>
      <c r="C7" s="179">
        <f>C9+C10+C11</f>
        <v>61191</v>
      </c>
      <c r="D7" s="74"/>
    </row>
    <row r="8" spans="1:4" ht="18" customHeight="1">
      <c r="A8" s="179"/>
      <c r="B8" s="75" t="s">
        <v>279</v>
      </c>
      <c r="C8" s="179"/>
      <c r="D8" s="74"/>
    </row>
    <row r="9" spans="1:4" ht="32.25" customHeight="1">
      <c r="A9" s="67" t="s">
        <v>158</v>
      </c>
      <c r="B9" s="76" t="s">
        <v>280</v>
      </c>
      <c r="C9" s="67">
        <v>57735</v>
      </c>
      <c r="D9" s="74" t="s">
        <v>313</v>
      </c>
    </row>
    <row r="10" spans="1:4" ht="32.25" customHeight="1">
      <c r="A10" s="67" t="s">
        <v>159</v>
      </c>
      <c r="B10" s="76" t="s">
        <v>281</v>
      </c>
      <c r="C10" s="67">
        <v>456</v>
      </c>
      <c r="D10" s="74" t="s">
        <v>314</v>
      </c>
    </row>
    <row r="11" spans="1:4" ht="43.5" customHeight="1">
      <c r="A11" s="179" t="s">
        <v>160</v>
      </c>
      <c r="B11" s="76" t="s">
        <v>282</v>
      </c>
      <c r="C11" s="67">
        <f>C13</f>
        <v>3000</v>
      </c>
      <c r="D11" s="74"/>
    </row>
    <row r="12" spans="1:4" ht="18.75" customHeight="1">
      <c r="A12" s="179"/>
      <c r="B12" s="80" t="s">
        <v>279</v>
      </c>
      <c r="C12" s="81"/>
      <c r="D12" s="74"/>
    </row>
    <row r="13" spans="1:4" ht="32.25" customHeight="1">
      <c r="A13" s="77" t="s">
        <v>315</v>
      </c>
      <c r="B13" s="82" t="s">
        <v>283</v>
      </c>
      <c r="C13" s="83">
        <v>3000</v>
      </c>
      <c r="D13" s="74"/>
    </row>
    <row r="14" spans="1:4" ht="32.25" customHeight="1">
      <c r="A14" s="77" t="s">
        <v>316</v>
      </c>
      <c r="B14" s="82" t="s">
        <v>284</v>
      </c>
      <c r="C14" s="83">
        <v>0</v>
      </c>
      <c r="D14" s="74"/>
    </row>
    <row r="15" spans="1:4" s="72" customFormat="1" ht="32.25" customHeight="1">
      <c r="A15" s="69" t="s">
        <v>285</v>
      </c>
      <c r="B15" s="70" t="s">
        <v>286</v>
      </c>
      <c r="C15" s="69">
        <f>C16+C37</f>
        <v>37883</v>
      </c>
      <c r="D15" s="71"/>
    </row>
    <row r="16" spans="1:4" ht="32.25" customHeight="1">
      <c r="A16" s="179">
        <v>2</v>
      </c>
      <c r="B16" s="73" t="s">
        <v>287</v>
      </c>
      <c r="C16" s="67">
        <f>SUM(C18:C36)</f>
        <v>29385</v>
      </c>
      <c r="D16" s="74"/>
    </row>
    <row r="17" spans="1:4" ht="32.25" customHeight="1">
      <c r="A17" s="179"/>
      <c r="B17" s="78" t="s">
        <v>288</v>
      </c>
      <c r="C17" s="73"/>
      <c r="D17" s="74"/>
    </row>
    <row r="18" spans="1:4" ht="32.25" customHeight="1">
      <c r="A18" s="67" t="s">
        <v>165</v>
      </c>
      <c r="B18" s="76" t="s">
        <v>289</v>
      </c>
      <c r="C18" s="67">
        <v>339</v>
      </c>
      <c r="D18" s="74"/>
    </row>
    <row r="19" spans="1:4" ht="32.25" customHeight="1">
      <c r="A19" s="67" t="s">
        <v>166</v>
      </c>
      <c r="B19" s="76" t="s">
        <v>290</v>
      </c>
      <c r="C19" s="67">
        <v>109</v>
      </c>
      <c r="D19" s="74"/>
    </row>
    <row r="20" spans="1:4" ht="32.25" customHeight="1">
      <c r="A20" s="67" t="s">
        <v>167</v>
      </c>
      <c r="B20" s="76" t="s">
        <v>291</v>
      </c>
      <c r="C20" s="67">
        <v>292</v>
      </c>
      <c r="D20" s="74"/>
    </row>
    <row r="21" spans="1:4" ht="45" customHeight="1">
      <c r="A21" s="67" t="s">
        <v>171</v>
      </c>
      <c r="B21" s="76" t="s">
        <v>292</v>
      </c>
      <c r="C21" s="67">
        <v>2377</v>
      </c>
      <c r="D21" s="74"/>
    </row>
    <row r="22" spans="1:4" ht="49.5" customHeight="1">
      <c r="A22" s="67" t="s">
        <v>172</v>
      </c>
      <c r="B22" s="76" t="s">
        <v>293</v>
      </c>
      <c r="C22" s="67">
        <v>349</v>
      </c>
      <c r="D22" s="74"/>
    </row>
    <row r="23" spans="1:4" ht="32.25" customHeight="1">
      <c r="A23" s="67" t="s">
        <v>173</v>
      </c>
      <c r="B23" s="76" t="s">
        <v>294</v>
      </c>
      <c r="C23" s="67">
        <v>226</v>
      </c>
      <c r="D23" s="74"/>
    </row>
    <row r="24" spans="1:4" ht="32.25" customHeight="1">
      <c r="A24" s="67" t="s">
        <v>174</v>
      </c>
      <c r="B24" s="76" t="s">
        <v>295</v>
      </c>
      <c r="C24" s="67">
        <v>541</v>
      </c>
      <c r="D24" s="74"/>
    </row>
    <row r="25" spans="1:4" ht="32.25" customHeight="1">
      <c r="A25" s="67" t="s">
        <v>175</v>
      </c>
      <c r="B25" s="76" t="s">
        <v>296</v>
      </c>
      <c r="C25" s="67">
        <v>1716</v>
      </c>
      <c r="D25" s="74"/>
    </row>
    <row r="26" spans="1:4" ht="32.25" customHeight="1">
      <c r="A26" s="67" t="s">
        <v>176</v>
      </c>
      <c r="B26" s="76" t="s">
        <v>297</v>
      </c>
      <c r="C26" s="67">
        <v>123</v>
      </c>
      <c r="D26" s="74"/>
    </row>
    <row r="27" spans="1:4" ht="32.25" customHeight="1">
      <c r="A27" s="67" t="s">
        <v>177</v>
      </c>
      <c r="B27" s="76" t="s">
        <v>298</v>
      </c>
      <c r="C27" s="67">
        <v>1000</v>
      </c>
      <c r="D27" s="74"/>
    </row>
    <row r="28" spans="1:4" ht="32.25" customHeight="1">
      <c r="A28" s="67" t="s">
        <v>178</v>
      </c>
      <c r="B28" s="76" t="s">
        <v>299</v>
      </c>
      <c r="C28" s="67">
        <v>650</v>
      </c>
      <c r="D28" s="74"/>
    </row>
    <row r="29" spans="1:4" ht="32.25" customHeight="1">
      <c r="A29" s="67" t="s">
        <v>179</v>
      </c>
      <c r="B29" s="76" t="s">
        <v>300</v>
      </c>
      <c r="C29" s="67">
        <v>293</v>
      </c>
      <c r="D29" s="74"/>
    </row>
    <row r="30" spans="1:4" ht="32.25" customHeight="1">
      <c r="A30" s="67" t="s">
        <v>180</v>
      </c>
      <c r="B30" s="76" t="s">
        <v>301</v>
      </c>
      <c r="C30" s="67">
        <v>632</v>
      </c>
      <c r="D30" s="74"/>
    </row>
    <row r="31" spans="1:4" ht="32.25" customHeight="1">
      <c r="A31" s="67" t="s">
        <v>181</v>
      </c>
      <c r="B31" s="76" t="s">
        <v>302</v>
      </c>
      <c r="C31" s="67">
        <v>1374</v>
      </c>
      <c r="D31" s="74"/>
    </row>
    <row r="32" spans="1:4" ht="52.5" customHeight="1">
      <c r="A32" s="67" t="s">
        <v>183</v>
      </c>
      <c r="B32" s="76" t="s">
        <v>303</v>
      </c>
      <c r="C32" s="67">
        <v>8071</v>
      </c>
      <c r="D32" s="74"/>
    </row>
    <row r="33" spans="1:4" ht="32.25" customHeight="1">
      <c r="A33" s="67" t="s">
        <v>184</v>
      </c>
      <c r="B33" s="76" t="s">
        <v>304</v>
      </c>
      <c r="C33" s="67">
        <v>5506</v>
      </c>
      <c r="D33" s="74"/>
    </row>
    <row r="34" spans="1:4" ht="32.25" customHeight="1">
      <c r="A34" s="67" t="s">
        <v>185</v>
      </c>
      <c r="B34" s="76" t="s">
        <v>305</v>
      </c>
      <c r="C34" s="67">
        <v>4550</v>
      </c>
      <c r="D34" s="74"/>
    </row>
    <row r="35" spans="1:4" ht="32.25" customHeight="1">
      <c r="A35" s="67" t="s">
        <v>186</v>
      </c>
      <c r="B35" s="76" t="s">
        <v>306</v>
      </c>
      <c r="C35" s="67">
        <v>1104</v>
      </c>
      <c r="D35" s="74"/>
    </row>
    <row r="36" spans="1:4" ht="32.25" customHeight="1">
      <c r="A36" s="67" t="s">
        <v>187</v>
      </c>
      <c r="B36" s="76" t="s">
        <v>307</v>
      </c>
      <c r="C36" s="67">
        <v>133</v>
      </c>
      <c r="D36" s="74"/>
    </row>
    <row r="37" spans="1:4" ht="45.75" customHeight="1">
      <c r="A37" s="181">
        <v>3</v>
      </c>
      <c r="B37" s="70" t="s">
        <v>308</v>
      </c>
      <c r="C37" s="69">
        <f>C39+C40+C41+C42</f>
        <v>8498</v>
      </c>
      <c r="D37" s="74"/>
    </row>
    <row r="38" spans="1:4" ht="14.25" customHeight="1">
      <c r="A38" s="181"/>
      <c r="B38" s="75" t="s">
        <v>279</v>
      </c>
      <c r="C38" s="73"/>
      <c r="D38" s="74"/>
    </row>
    <row r="39" spans="1:4" ht="41.25" customHeight="1">
      <c r="A39" s="67" t="s">
        <v>207</v>
      </c>
      <c r="B39" s="76" t="s">
        <v>309</v>
      </c>
      <c r="C39" s="67">
        <v>7869</v>
      </c>
      <c r="D39" s="74"/>
    </row>
    <row r="40" spans="1:4" ht="44.25" customHeight="1">
      <c r="A40" s="67" t="s">
        <v>208</v>
      </c>
      <c r="B40" s="76" t="s">
        <v>310</v>
      </c>
      <c r="C40" s="67">
        <v>396</v>
      </c>
      <c r="D40" s="74"/>
    </row>
    <row r="41" spans="1:4" ht="46.5" customHeight="1">
      <c r="A41" s="67" t="s">
        <v>209</v>
      </c>
      <c r="B41" s="76" t="s">
        <v>311</v>
      </c>
      <c r="C41" s="67">
        <v>96</v>
      </c>
      <c r="D41" s="74"/>
    </row>
    <row r="42" spans="1:4" ht="21" customHeight="1">
      <c r="A42" s="67" t="s">
        <v>210</v>
      </c>
      <c r="B42" s="76" t="s">
        <v>317</v>
      </c>
      <c r="C42" s="67">
        <v>137</v>
      </c>
      <c r="D42" s="74"/>
    </row>
    <row r="45" spans="1:4" ht="15">
      <c r="A45" s="88">
        <v>4</v>
      </c>
      <c r="B45" s="89" t="s">
        <v>318</v>
      </c>
      <c r="C45" s="90">
        <v>8171</v>
      </c>
      <c r="D45" s="84"/>
    </row>
    <row r="46" spans="1:4" ht="29.25">
      <c r="A46" s="88">
        <v>5</v>
      </c>
      <c r="B46" s="91" t="s">
        <v>320</v>
      </c>
      <c r="C46" s="90">
        <f>C6-C15-C45</f>
        <v>15137</v>
      </c>
      <c r="D46" s="85" t="s">
        <v>319</v>
      </c>
    </row>
    <row r="47" spans="1:4" ht="15">
      <c r="A47" s="84"/>
      <c r="B47" s="86" t="s">
        <v>321</v>
      </c>
      <c r="C47" s="87">
        <v>2300</v>
      </c>
      <c r="D47" s="84"/>
    </row>
    <row r="48" spans="1:4" ht="15">
      <c r="A48" s="84"/>
      <c r="B48" s="86" t="s">
        <v>127</v>
      </c>
      <c r="C48" s="92">
        <f>C46-C47</f>
        <v>12837</v>
      </c>
      <c r="D48" s="84"/>
    </row>
    <row r="49" spans="1:4" ht="24.75" customHeight="1">
      <c r="A49" s="93"/>
      <c r="B49" s="93" t="s">
        <v>322</v>
      </c>
      <c r="C49" s="94">
        <f>C16+C45+C48</f>
        <v>50393</v>
      </c>
      <c r="D49" s="93" t="s">
        <v>323</v>
      </c>
    </row>
  </sheetData>
  <sheetProtection/>
  <mergeCells count="10">
    <mergeCell ref="D4:D5"/>
    <mergeCell ref="A1:D2"/>
    <mergeCell ref="A37:A38"/>
    <mergeCell ref="A16:A17"/>
    <mergeCell ref="A11:A12"/>
    <mergeCell ref="A7:A8"/>
    <mergeCell ref="C7:C8"/>
    <mergeCell ref="A4:A5"/>
    <mergeCell ref="B4:B5"/>
    <mergeCell ref="C4:C5"/>
  </mergeCells>
  <hyperlinks>
    <hyperlink ref="B17" r:id="rId1" display="consultantplus://offline/ref=AA1FDAC588F7A61C6856C28BEBFE44173A58037953888AE39849378898301EECC241B9798812A58609B7A671D6O9TFG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0">
      <selection activeCell="F17" sqref="F17"/>
    </sheetView>
  </sheetViews>
  <sheetFormatPr defaultColWidth="9.00390625" defaultRowHeight="12.75"/>
  <cols>
    <col min="2" max="2" width="55.00390625" style="128" customWidth="1"/>
    <col min="4" max="7" width="15.25390625" style="0" customWidth="1"/>
  </cols>
  <sheetData>
    <row r="1" spans="1:6" ht="18.75">
      <c r="A1" s="182"/>
      <c r="B1" s="182" t="s">
        <v>345</v>
      </c>
      <c r="C1" s="182" t="s">
        <v>346</v>
      </c>
      <c r="D1" s="20" t="s">
        <v>29</v>
      </c>
      <c r="E1" s="112" t="s">
        <v>29</v>
      </c>
      <c r="F1" s="20" t="s">
        <v>30</v>
      </c>
    </row>
    <row r="2" spans="1:6" ht="23.25" customHeight="1">
      <c r="A2" s="182"/>
      <c r="B2" s="182"/>
      <c r="C2" s="182"/>
      <c r="D2" s="119">
        <v>2018</v>
      </c>
      <c r="E2" s="120">
        <v>2019</v>
      </c>
      <c r="F2" s="119">
        <v>2020</v>
      </c>
    </row>
    <row r="3" spans="1:6" ht="18.75">
      <c r="A3" s="114">
        <v>9</v>
      </c>
      <c r="B3" s="125" t="s">
        <v>114</v>
      </c>
      <c r="C3" s="100"/>
      <c r="D3" s="109"/>
      <c r="E3" s="109"/>
      <c r="F3" s="109"/>
    </row>
    <row r="4" spans="1:6" ht="38.25" customHeight="1">
      <c r="A4" s="10" t="s">
        <v>248</v>
      </c>
      <c r="B4" s="30" t="s">
        <v>101</v>
      </c>
      <c r="C4" s="2" t="s">
        <v>16</v>
      </c>
      <c r="D4" s="17">
        <v>59.8</v>
      </c>
      <c r="E4" s="121">
        <v>60.89</v>
      </c>
      <c r="F4" s="121">
        <v>60.93</v>
      </c>
    </row>
    <row r="5" spans="1:6" ht="38.25" customHeight="1">
      <c r="A5" s="10" t="s">
        <v>332</v>
      </c>
      <c r="B5" s="126" t="s">
        <v>152</v>
      </c>
      <c r="C5" s="2" t="s">
        <v>56</v>
      </c>
      <c r="D5" s="17">
        <v>52.3</v>
      </c>
      <c r="E5" s="121">
        <v>52.379</v>
      </c>
      <c r="F5" s="121">
        <v>52.3</v>
      </c>
    </row>
    <row r="6" spans="1:6" ht="38.25" customHeight="1">
      <c r="A6" s="10" t="s">
        <v>333</v>
      </c>
      <c r="B6" s="127" t="s">
        <v>102</v>
      </c>
      <c r="C6" s="2" t="s">
        <v>99</v>
      </c>
      <c r="D6" s="17">
        <v>29860.2</v>
      </c>
      <c r="E6" s="121">
        <v>32153.8</v>
      </c>
      <c r="F6" s="121">
        <v>34408</v>
      </c>
    </row>
    <row r="7" spans="1:6" ht="38.25" customHeight="1">
      <c r="A7" s="10" t="s">
        <v>334</v>
      </c>
      <c r="B7" s="127" t="s">
        <v>103</v>
      </c>
      <c r="C7" s="11" t="s">
        <v>57</v>
      </c>
      <c r="D7" s="29" t="e">
        <f>D6/#REF!*100</f>
        <v>#REF!</v>
      </c>
      <c r="E7" s="121">
        <f>E6/D6*100</f>
        <v>107.68112738695655</v>
      </c>
      <c r="F7" s="121">
        <f>F6/E6*100</f>
        <v>107.01067991963625</v>
      </c>
    </row>
    <row r="8" spans="1:6" ht="38.25" customHeight="1">
      <c r="A8" s="10" t="s">
        <v>335</v>
      </c>
      <c r="B8" s="127" t="s">
        <v>46</v>
      </c>
      <c r="C8" s="2" t="s">
        <v>52</v>
      </c>
      <c r="D8" s="17">
        <v>22040</v>
      </c>
      <c r="E8" s="121">
        <v>23419</v>
      </c>
      <c r="F8" s="121">
        <v>24389.3</v>
      </c>
    </row>
    <row r="9" spans="1:6" ht="38.25" customHeight="1">
      <c r="A9" s="10" t="s">
        <v>336</v>
      </c>
      <c r="B9" s="126" t="s">
        <v>153</v>
      </c>
      <c r="C9" s="38" t="s">
        <v>57</v>
      </c>
      <c r="D9" s="17" t="e">
        <f>D8/#REF!*100</f>
        <v>#REF!</v>
      </c>
      <c r="E9" s="121">
        <f>E8/D8*100</f>
        <v>106.25680580762251</v>
      </c>
      <c r="F9" s="121">
        <f>F8/E8*100</f>
        <v>104.14321704598831</v>
      </c>
    </row>
    <row r="10" spans="1:6" ht="38.25" customHeight="1">
      <c r="A10" s="10" t="s">
        <v>337</v>
      </c>
      <c r="B10" s="30" t="s">
        <v>104</v>
      </c>
      <c r="C10" s="11" t="s">
        <v>57</v>
      </c>
      <c r="D10" s="29">
        <v>107.55</v>
      </c>
      <c r="E10" s="121">
        <f>E7/103.3*100</f>
        <v>104.24116881602762</v>
      </c>
      <c r="F10" s="121">
        <f>F7/103.87*100</f>
        <v>103.0236641182596</v>
      </c>
    </row>
    <row r="11" spans="1:6" ht="38.25" customHeight="1">
      <c r="A11" s="10" t="s">
        <v>338</v>
      </c>
      <c r="B11" s="126" t="s">
        <v>154</v>
      </c>
      <c r="C11" s="38" t="s">
        <v>155</v>
      </c>
      <c r="D11" s="43">
        <v>101.5</v>
      </c>
      <c r="E11" s="121">
        <v>102.1</v>
      </c>
      <c r="F11" s="121">
        <v>100.1</v>
      </c>
    </row>
    <row r="12" spans="1:6" ht="38.25" customHeight="1">
      <c r="A12" s="10" t="s">
        <v>339</v>
      </c>
      <c r="B12" s="126" t="s">
        <v>156</v>
      </c>
      <c r="C12" s="11" t="s">
        <v>105</v>
      </c>
      <c r="D12" s="29">
        <v>8.21</v>
      </c>
      <c r="E12" s="121">
        <f>E14/E4*100</f>
        <v>9.817704056495323</v>
      </c>
      <c r="F12" s="121">
        <f>F14/F4*100</f>
        <v>13.781388478581983</v>
      </c>
    </row>
    <row r="13" spans="1:6" ht="38.25" customHeight="1">
      <c r="A13" s="10" t="s">
        <v>340</v>
      </c>
      <c r="B13" s="127" t="s">
        <v>25</v>
      </c>
      <c r="C13" s="11" t="s">
        <v>13</v>
      </c>
      <c r="D13" s="29">
        <v>0.9</v>
      </c>
      <c r="E13" s="121">
        <v>0.8</v>
      </c>
      <c r="F13" s="121">
        <v>7.3</v>
      </c>
    </row>
    <row r="14" spans="1:6" ht="38.25" customHeight="1">
      <c r="A14" s="10" t="s">
        <v>341</v>
      </c>
      <c r="B14" s="126" t="s">
        <v>157</v>
      </c>
      <c r="C14" s="2" t="s">
        <v>16</v>
      </c>
      <c r="D14" s="29">
        <v>4.91</v>
      </c>
      <c r="E14" s="121">
        <f>E4-E5-0.096-0.137-2.3</f>
        <v>5.978000000000002</v>
      </c>
      <c r="F14" s="121">
        <f>F4-F5-0.096-0.137</f>
        <v>8.397000000000002</v>
      </c>
    </row>
    <row r="15" spans="1:6" ht="38.25" customHeight="1">
      <c r="A15" s="10" t="s">
        <v>342</v>
      </c>
      <c r="B15" s="127" t="s">
        <v>26</v>
      </c>
      <c r="C15" s="2" t="s">
        <v>16</v>
      </c>
      <c r="D15" s="23">
        <v>0.484</v>
      </c>
      <c r="E15" s="121">
        <v>0.441</v>
      </c>
      <c r="F15" s="121">
        <v>4.256</v>
      </c>
    </row>
    <row r="16" spans="1:6" ht="38.25" customHeight="1">
      <c r="A16" s="10" t="s">
        <v>343</v>
      </c>
      <c r="B16" s="127" t="s">
        <v>106</v>
      </c>
      <c r="C16" s="2" t="s">
        <v>8</v>
      </c>
      <c r="D16" s="43">
        <v>10341.2</v>
      </c>
      <c r="E16" s="121">
        <v>11382.4</v>
      </c>
      <c r="F16" s="121">
        <v>12139.6</v>
      </c>
    </row>
    <row r="17" spans="1:6" ht="38.25" customHeight="1">
      <c r="A17" s="10" t="s">
        <v>344</v>
      </c>
      <c r="B17" s="127" t="s">
        <v>107</v>
      </c>
      <c r="C17" s="2" t="s">
        <v>57</v>
      </c>
      <c r="D17" s="17" t="e">
        <f>D16/#REF!*100</f>
        <v>#REF!</v>
      </c>
      <c r="E17" s="121">
        <v>111</v>
      </c>
      <c r="F17" s="121">
        <f>F16/E16*100</f>
        <v>106.65237559741357</v>
      </c>
    </row>
  </sheetData>
  <sheetProtection/>
  <mergeCells count="3">
    <mergeCell ref="B1:B2"/>
    <mergeCell ref="C1:C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Пользователь Windows</cp:lastModifiedBy>
  <cp:lastPrinted>2021-11-17T09:21:46Z</cp:lastPrinted>
  <dcterms:created xsi:type="dcterms:W3CDTF">2013-05-25T16:45:04Z</dcterms:created>
  <dcterms:modified xsi:type="dcterms:W3CDTF">2021-11-17T09:21:48Z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