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117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<sst xmlns="http://schemas.openxmlformats.org/spreadsheetml/2006/main" count="5401" uniqueCount="618">
  <si>
    <t>№ п/п</t>
  </si>
  <si>
    <t>Показатели</t>
  </si>
  <si>
    <t>Количество этажей</t>
  </si>
  <si>
    <t>Количество подъездов</t>
  </si>
  <si>
    <t>Количество  квартир</t>
  </si>
  <si>
    <t>Общая площадь МКД</t>
  </si>
  <si>
    <t>Характеристика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</si>
  <si>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</si>
  <si>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МКД услуг по управлению, содержанию и ремонту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</si>
  <si>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</si>
  <si>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</si>
  <si>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</si>
  <si>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</si>
  <si>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</si>
  <si>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</si>
  <si>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</si>
  <si>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</si>
  <si>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по оплате электроэнергии на общедомовые нужды</t>
  </si>
  <si>
    <t>Услуги по обслуживанию и текущему ремонту общего имущества МКД, в том числе:</t>
  </si>
  <si>
    <t>ПРОЧИЕ УСЛУГИ</t>
  </si>
  <si>
    <t>Другие расходы</t>
  </si>
  <si>
    <t xml:space="preserve">ОБЩАЯ СТОИМОСТЬ ПРЕДОСТАВЛЕННЫХ УСЛУГ ПО УПРАВЛЕНИЮ, СОДЕРЖАНИЮ И РЕМОНТУ ОБЩЕГО ИМУЩЕСТВА МКД (стр. 14+16+18)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</si>
  <si>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стр. 19 / 12 мес.) </t>
  </si>
  <si>
    <t xml:space="preserve"> Заработная плата с начислениями</t>
  </si>
  <si>
    <t>Расходы по обезвреживанию КГМ (утилизация)</t>
  </si>
  <si>
    <t>Ремонт в подьезде</t>
  </si>
  <si>
    <t>Ослуживание ЮМЭК  внутреннего электроснабжения</t>
  </si>
  <si>
    <t>Замена эл. лампочек в подьездах</t>
  </si>
  <si>
    <t xml:space="preserve">Ремонт системы электроснабжения </t>
  </si>
  <si>
    <t>Ремонт перил в подьездах</t>
  </si>
  <si>
    <t>Ремонт системы теплоснабжения</t>
  </si>
  <si>
    <t>Закрытие проемов на элщитках дома</t>
  </si>
  <si>
    <t>Устройство навесов и замков на чердачные люки и короба</t>
  </si>
  <si>
    <t>из низ дворнику с отчислениями ЕСН</t>
  </si>
  <si>
    <t>Баланс</t>
  </si>
  <si>
    <t xml:space="preserve">                                   Отчет</t>
  </si>
  <si>
    <t>Сумма, руб.</t>
  </si>
  <si>
    <t>Выдача инвентаря слесарям-сантехникам, дворникам</t>
  </si>
  <si>
    <t xml:space="preserve">Транспортные расходы </t>
  </si>
  <si>
    <t>Расходы по ремонту транспортных средств</t>
  </si>
  <si>
    <t>Обработка подвала дезсредствами</t>
  </si>
  <si>
    <t>Ремонт системы канализации</t>
  </si>
  <si>
    <t>из низ лифтерам с отчислениями ЕСН</t>
  </si>
  <si>
    <t xml:space="preserve">управляющей организации ООО "Центральный" по многоквартиному дому по содержанию </t>
  </si>
  <si>
    <t>Исполнительный  директор ООО "Центральный"                                                        У.М. Сангаджиев</t>
  </si>
  <si>
    <t>Главный  экономист                                                                                                  Н.В. Хазыкова</t>
  </si>
  <si>
    <t>Замена задвижки</t>
  </si>
  <si>
    <t>Замена замка на подвальных,  чердачных дверях</t>
  </si>
  <si>
    <t>Ремонт лифтового оборудования</t>
  </si>
  <si>
    <t>Ремонт оконных решеток в подвале</t>
  </si>
  <si>
    <t>Ремонт системы  холодного водоснабжения</t>
  </si>
  <si>
    <t xml:space="preserve">Страхование лифтов </t>
  </si>
  <si>
    <t>Ремонт системы   горячего водоснабжения</t>
  </si>
  <si>
    <t>Техническое освидетельствование лифтов</t>
  </si>
  <si>
    <t>Засыпка ям песком</t>
  </si>
  <si>
    <t xml:space="preserve">Замена вентеля нижнего розлива </t>
  </si>
  <si>
    <t>Ремонт мягкой кровли кв.№ 30</t>
  </si>
  <si>
    <t>Ремонт потолоков кв.10</t>
  </si>
  <si>
    <t>Ремон(капитальный) нижнего розлива отопления</t>
  </si>
  <si>
    <t>Ремонт мягкой кровли кв.№ 9</t>
  </si>
  <si>
    <t>Спил сухих веток, деревьев</t>
  </si>
  <si>
    <t>Устранение аварийной ситуации (в подвале  на водопроводных сетях и электр. сетях)</t>
  </si>
  <si>
    <t>Ремонт межпанельных швов кв.35</t>
  </si>
  <si>
    <t>Ремонт мягкой кровли кв.№ 10</t>
  </si>
  <si>
    <t>Устранение аварийной ситуации (кв 11 система канализации)</t>
  </si>
  <si>
    <t>Побелка бордюр и деревьев</t>
  </si>
  <si>
    <t>Ремонт ливневой трубы кв.60</t>
  </si>
  <si>
    <t>Замена стояка общего пользования  кв.40</t>
  </si>
  <si>
    <t>Адрес дома: ул. Клыкова, 128</t>
  </si>
  <si>
    <t>Адрес дома: ул. Клыкова, 130</t>
  </si>
  <si>
    <t>Адрес дома: ул. Клыкова, 132</t>
  </si>
  <si>
    <t>Адрес дома: ул. Клыкова, 134</t>
  </si>
  <si>
    <t>Ремонт оконных решеток  и окон в подвале</t>
  </si>
  <si>
    <t>Расходы по созданию ТСЖ</t>
  </si>
  <si>
    <t>Адрес дома: ул. Клыкова, 136</t>
  </si>
  <si>
    <t>Устранение аварийной ситуации (подвал система отопл)</t>
  </si>
  <si>
    <t>Адрес дома: ул. Клыкова, 138</t>
  </si>
  <si>
    <t>Адрес дома: ул. Клыкова, 140</t>
  </si>
  <si>
    <t>Адрес дома: ул. Клыкова, 142</t>
  </si>
  <si>
    <t>Ремонт крыльца</t>
  </si>
  <si>
    <t>Адрес дома: ул. Клыкова, 146</t>
  </si>
  <si>
    <t>Адрес дома: ул. Клыкова, 144</t>
  </si>
  <si>
    <t>Устранение аварийной ситуации ( система отопления и х/водоснабжения)</t>
  </si>
  <si>
    <t>Адрес дома: ул. Л.Чайкиной, д.16</t>
  </si>
  <si>
    <t>Адрес дома: ул. Ленина, 331</t>
  </si>
  <si>
    <t>Адрес дома: ул. Ленина, 347 а</t>
  </si>
  <si>
    <t>1кв.</t>
  </si>
  <si>
    <t>2 кв.</t>
  </si>
  <si>
    <t>Побелка бордюр и деревьев, цоколей</t>
  </si>
  <si>
    <t xml:space="preserve">Расходы по дезинфекции в подъездах хлорной известью </t>
  </si>
  <si>
    <t>1 кв.</t>
  </si>
  <si>
    <t>Ремонт системы  горячего водоснабжения</t>
  </si>
  <si>
    <t xml:space="preserve">Техническое освидетельствование  лифтов </t>
  </si>
  <si>
    <t>Побелка цоколей, бордюр и деревьев</t>
  </si>
  <si>
    <t>Выкос сорных трав</t>
  </si>
  <si>
    <t>Покраска малых форм</t>
  </si>
  <si>
    <t>Ремонт сходов в подвал</t>
  </si>
  <si>
    <t>Побелка бордюр и деревьев, цоколя</t>
  </si>
  <si>
    <t>Ремонт примыканий тамбуров</t>
  </si>
  <si>
    <t>Обработка л/клеток хлорной известью</t>
  </si>
  <si>
    <t xml:space="preserve">Ремонт мягкой кровли </t>
  </si>
  <si>
    <t>НАЛОГИ (УСН)</t>
  </si>
  <si>
    <t>Замена петель на дверях</t>
  </si>
  <si>
    <t>Ремонт мягкой кровли кв.№ 60</t>
  </si>
  <si>
    <t xml:space="preserve">Установка прибора учета </t>
  </si>
  <si>
    <t>Ремонт  потолков</t>
  </si>
  <si>
    <t>Окраска малых форм</t>
  </si>
  <si>
    <t>Ремонт тамбуров подъезд  № 1-6</t>
  </si>
  <si>
    <t>Установка прибора учета э/энергии в подвале</t>
  </si>
  <si>
    <t>Ремонт мягкой кровли кв.№ 39</t>
  </si>
  <si>
    <t>Ремонт тамбуров в подъездах № 1-6</t>
  </si>
  <si>
    <t>Ремонт  чердачных люков, входных дверей, сходов в подвал</t>
  </si>
  <si>
    <t>Ремонт мягкой кровли кв.№ 30,59</t>
  </si>
  <si>
    <t>Ремонт мягкой кровли кв.№ 36,9,10,19,29,40,49,50</t>
  </si>
  <si>
    <t xml:space="preserve">Ремонт межпанельных швов </t>
  </si>
  <si>
    <t>Ремон(капитальный) нижнего розлива горячего водоснабжения</t>
  </si>
  <si>
    <t>капитальный ремонт  под №4</t>
  </si>
  <si>
    <t>Устройство почтовых ящиков</t>
  </si>
  <si>
    <t>Установка малых форм</t>
  </si>
  <si>
    <t>Ремонт ливневой канализации</t>
  </si>
  <si>
    <t>3 кв.</t>
  </si>
  <si>
    <t>Ремонт контейнеров для сбора ТБО</t>
  </si>
  <si>
    <t>Ремонт оконных рам</t>
  </si>
  <si>
    <t>3 кв</t>
  </si>
  <si>
    <t>3 КВ.</t>
  </si>
  <si>
    <t>Ремонт козырьков , кв.7,8</t>
  </si>
  <si>
    <t>Капитальный ремонт нижнего розлива г/водоснабжения</t>
  </si>
  <si>
    <t>Ремонт межпанельных швов</t>
  </si>
  <si>
    <t>Обработка подвала дезсредствами против блох и грызунов</t>
  </si>
  <si>
    <t>Устройство пандуса в  подъезде  №  3</t>
  </si>
  <si>
    <t>Ремонт штукатурки дверных откосов в под. 4</t>
  </si>
  <si>
    <t>Ремонт в подьезде № 2,4</t>
  </si>
  <si>
    <t>Ремонт штукатурки дверных откосов в под. 1-4</t>
  </si>
  <si>
    <t>Ремонт межпанельных швов кв.10</t>
  </si>
  <si>
    <t>Ремонт штукатурки торцевой стены кв.58</t>
  </si>
  <si>
    <t>Ремонт межпанельных швов кв.50,</t>
  </si>
  <si>
    <t>Ремонт крыльца под.5-6</t>
  </si>
  <si>
    <t>Ремон(капитальный) нижнего розлива холодного  водоснабжения</t>
  </si>
  <si>
    <t>Ремон(капитальный) нижнего розлива холодного водоснабжения</t>
  </si>
  <si>
    <t>Адрес дома: ул. Клыкова, 92 в</t>
  </si>
  <si>
    <t>Ремонт мягкой кровли кв.№ 70,71</t>
  </si>
  <si>
    <t>4 кв.</t>
  </si>
  <si>
    <t>Ремонт теплосчетчика</t>
  </si>
  <si>
    <t>Остекление окон в подъездах</t>
  </si>
  <si>
    <t>Обработка л/ кдеток дезсредствами</t>
  </si>
  <si>
    <t>Заделка трещин в подвале</t>
  </si>
  <si>
    <t>Капитальный ремонт нижнего розлива х/водоснабжения</t>
  </si>
  <si>
    <t>Опломбирование теплового счетчика</t>
  </si>
  <si>
    <t>Объявление в СМИ по провед. капремонта МКД</t>
  </si>
  <si>
    <t>Ремонт межпанельных швов кв.28</t>
  </si>
  <si>
    <t>Ремонт оконных решеток в подвале, и оконных рам в подъезде</t>
  </si>
  <si>
    <t>Адрес дома: 2 микрорайон, д. 40 корп.1</t>
  </si>
  <si>
    <t>Устройство полов на лестничных площадках под. 3</t>
  </si>
  <si>
    <t>Проверка теплосчетчика в лаборатории</t>
  </si>
  <si>
    <t>Отекление окон в подъездах</t>
  </si>
  <si>
    <t>Ремонт мягкой кровли тамбура</t>
  </si>
  <si>
    <t>Адрес дома: ул. Горького, 13</t>
  </si>
  <si>
    <t>объявление в СМИ по проведению капремонта дома</t>
  </si>
  <si>
    <t>Услуги по управлению МКД</t>
  </si>
  <si>
    <t>Услуги по санит содерж МКД</t>
  </si>
  <si>
    <t>Услуги по обслужив и текрем МКД</t>
  </si>
  <si>
    <t>Прочие услуги</t>
  </si>
  <si>
    <t>Налоги</t>
  </si>
  <si>
    <t>в том числе</t>
  </si>
  <si>
    <t>содержание  и ремонт</t>
  </si>
  <si>
    <t>Площадь квартир МКД, м2</t>
  </si>
  <si>
    <t xml:space="preserve">в том числе </t>
  </si>
  <si>
    <t>Адрес  МКД</t>
  </si>
  <si>
    <t>Всего (7+8)</t>
  </si>
  <si>
    <t>Всего (5+6)</t>
  </si>
  <si>
    <t>Общая стоимость предоставленных услуг (9+10+11+12)</t>
  </si>
  <si>
    <t>Цена  1 кв.м. (13/3/12)</t>
  </si>
  <si>
    <t>Баланс (4-14)</t>
  </si>
  <si>
    <t>2 микр-н,11</t>
  </si>
  <si>
    <t>2 микр-н,12</t>
  </si>
  <si>
    <t>2 микр-н,13</t>
  </si>
  <si>
    <t>2 микр-н,13 б</t>
  </si>
  <si>
    <t>2 микр-н,14</t>
  </si>
  <si>
    <t>2 микр-н,15</t>
  </si>
  <si>
    <t>2 микр-н,17</t>
  </si>
  <si>
    <t>2 микр-н,18</t>
  </si>
  <si>
    <t>2 микр-н,19</t>
  </si>
  <si>
    <t>2 микр-н,20</t>
  </si>
  <si>
    <t>2 микр-н,21</t>
  </si>
  <si>
    <t>2 микр-н,22</t>
  </si>
  <si>
    <t>2 микр-н,23</t>
  </si>
  <si>
    <t>2 микр-н,23 А</t>
  </si>
  <si>
    <t>2 микр-н,24</t>
  </si>
  <si>
    <t>2 микр-н,25</t>
  </si>
  <si>
    <t>2 микр-н,25 а</t>
  </si>
  <si>
    <t>2 микр-н,26</t>
  </si>
  <si>
    <t>2 микр-н,27</t>
  </si>
  <si>
    <t>2 микр-н,28</t>
  </si>
  <si>
    <t>2 микр-н,29</t>
  </si>
  <si>
    <t>2 микр-н,30</t>
  </si>
  <si>
    <t>2 микр-н,31</t>
  </si>
  <si>
    <t>2 микр-н,32</t>
  </si>
  <si>
    <t>2 микр-н,33</t>
  </si>
  <si>
    <t>2 микр-н,34</t>
  </si>
  <si>
    <t>2 микр-н,35</t>
  </si>
  <si>
    <t>2 микр-н,36</t>
  </si>
  <si>
    <t>2 микр-н,37</t>
  </si>
  <si>
    <t>2 микр-н,38</t>
  </si>
  <si>
    <t>2 микр-н,39</t>
  </si>
  <si>
    <t>Клыкова,128</t>
  </si>
  <si>
    <t>Клыкова,130</t>
  </si>
  <si>
    <t>Клыкова,132</t>
  </si>
  <si>
    <t>Клыкова,134</t>
  </si>
  <si>
    <t>Клыкова,136</t>
  </si>
  <si>
    <t>Клыкова,138</t>
  </si>
  <si>
    <t>Клыкова,140</t>
  </si>
  <si>
    <t>Клыкова,142</t>
  </si>
  <si>
    <t>Клыкова,144</t>
  </si>
  <si>
    <t>Клыкова,146</t>
  </si>
  <si>
    <t>Ленина,331</t>
  </si>
  <si>
    <t>Ленина,347,а</t>
  </si>
  <si>
    <t>Л.Чайкиной,16</t>
  </si>
  <si>
    <t>Клыкова, 92 в</t>
  </si>
  <si>
    <t>Гоького,13</t>
  </si>
  <si>
    <t>2 микор Д. 40 к. 2</t>
  </si>
  <si>
    <t>аренда подвальных помещений и рекламных мест</t>
  </si>
  <si>
    <t>Предоставлено услуг по управлению, содержанию и ремонту общего имущества МКД</t>
  </si>
  <si>
    <t>Сводная по Отчетам "Содержание и ремонт общего имущества МКД"  по ООО "Центральный"</t>
  </si>
  <si>
    <t>Ремонт в подьезде № 5</t>
  </si>
  <si>
    <t>и ремонту общего имущества МКД за  2012 год</t>
  </si>
  <si>
    <t>Аварийно-диспетчерское и аварийно-ремонтное обслуживание системы электроснабжения</t>
  </si>
  <si>
    <t>Оценка соответствия лифтов в форме периодического освидетельствования</t>
  </si>
  <si>
    <t>Ремонт статора эл.двигателя под.1</t>
  </si>
  <si>
    <t>изготовление межевого плана</t>
  </si>
  <si>
    <t>Ремонт чердачной двери</t>
  </si>
  <si>
    <t>электроэнергия на подъем лифтов 4  ед.</t>
  </si>
  <si>
    <t>Ремонт системы  холодного водоснабжения кв. № 3,2,6,8,</t>
  </si>
  <si>
    <t>Замена  и опломбирование счетчика в квартирах</t>
  </si>
  <si>
    <t>Очистка крыши от мусора</t>
  </si>
  <si>
    <t>Ремонт потолков в  квартире . № 9</t>
  </si>
  <si>
    <t>ремонт холодного водоснабжения в кв. № 9</t>
  </si>
  <si>
    <t>Ремонт горячего и холодного водоснабжения в кв.№41</t>
  </si>
  <si>
    <t xml:space="preserve">Ремонт потолков в кв. № 20 </t>
  </si>
  <si>
    <t>Устройство ограждений придомовой территории</t>
  </si>
  <si>
    <t>Ремонт перил на л/ маршах</t>
  </si>
  <si>
    <t>Установка светильников в подъездах</t>
  </si>
  <si>
    <t>Ремонт перил на л/маршах</t>
  </si>
  <si>
    <t>Страхование лифтов</t>
  </si>
  <si>
    <t>ИТОГО</t>
  </si>
  <si>
    <t>Исполнительный директор ООО "Центральный"</t>
  </si>
  <si>
    <t>У.М. Сангаджиев</t>
  </si>
  <si>
    <t>Главный экономист</t>
  </si>
  <si>
    <t>Н.В. Хазыкова</t>
  </si>
  <si>
    <t>за 1 квартал 2012 год</t>
  </si>
  <si>
    <t>Собрано средств на оплату предоставленных услуг за 1 кв.2012 г.</t>
  </si>
  <si>
    <t>Ремонт стартера электродвигателя в под. 1</t>
  </si>
  <si>
    <t>Установка светильников в подъезде</t>
  </si>
  <si>
    <t>Возмещение ООО "Лифтремонт" за содержание обходчика лифтов</t>
  </si>
  <si>
    <t>Побелка (покраска) цоколей, бордюр и деревьев</t>
  </si>
  <si>
    <t>Установка входной двери в подъезде № 2</t>
  </si>
  <si>
    <t xml:space="preserve"> +</t>
  </si>
  <si>
    <t>Обработка л/ клеток дезсредствами</t>
  </si>
  <si>
    <t>Капитальный ремонт н/розлива  системы отопления</t>
  </si>
  <si>
    <t xml:space="preserve">Замена предохранителя </t>
  </si>
  <si>
    <t>Ремонт потолков в кв. № 20</t>
  </si>
  <si>
    <t>Установка светильников реогируемые на движение в подъездах</t>
  </si>
  <si>
    <t>Выкос карантинных трав (1400 м2)</t>
  </si>
  <si>
    <t>Ремонт мягкой кровли кв 20, 9,10,19,20,29,30,39,40,49,50,59,60 -  635,1 м2</t>
  </si>
  <si>
    <t>Обработка подвала дезсредствами от блох</t>
  </si>
  <si>
    <t>Обработка подвала дезсредствами от клещей</t>
  </si>
  <si>
    <t xml:space="preserve">Ремонт тамбуров </t>
  </si>
  <si>
    <t>Ремонт мягкой кровли кв.№ 60 - 60м2,№50-15м2</t>
  </si>
  <si>
    <t>Обработка подвала дезсредствами, придомов террит от клещей -</t>
  </si>
  <si>
    <t>Ремонт стеновой панели</t>
  </si>
  <si>
    <t>Замена  окон в подъезде № 1,2 на ПВХ</t>
  </si>
  <si>
    <t>Устройство перил на лестнице</t>
  </si>
  <si>
    <t>Устройство ниш в подъезде № 1</t>
  </si>
  <si>
    <t xml:space="preserve">Обработка подвала дезсредствами, дезинсекция от клещей </t>
  </si>
  <si>
    <t>Ремонт штукатурки крыльца подъезда № 2</t>
  </si>
  <si>
    <t>Обработка подвала дезсредствами, дезинсекция от клещей</t>
  </si>
  <si>
    <t>Ремонт  подъезда № 3</t>
  </si>
  <si>
    <t xml:space="preserve">Замена окон на ПВХ в под. № 3 </t>
  </si>
  <si>
    <t>Обработка подвала дезсредствами, дезинсекция против блох</t>
  </si>
  <si>
    <t>Ремонт мягкой кровли кв.№ 29,30,39,4049,59, ( 660 м2)</t>
  </si>
  <si>
    <t>Ремонт потолоков в кв.20</t>
  </si>
  <si>
    <t xml:space="preserve">Обработка подвала дезсредствами, дезинсекция от блох </t>
  </si>
  <si>
    <t>Ремонт мягкой кровли кв.№ 29 105 м2, под.3 с  примыканием с кв. 30</t>
  </si>
  <si>
    <t>Устройство решеток на подвальных окнах</t>
  </si>
  <si>
    <t>Замена стояка общего пользования   по холодной и горячей воде в кв. 56</t>
  </si>
  <si>
    <t>ремонт нижнего розлива холодного водопровода</t>
  </si>
  <si>
    <t>Ремонт мягкой кровли кв.№ 9,10 - 26,8 м2,29- 48,4 м2,30,59</t>
  </si>
  <si>
    <t>Обработка подвала дезсредствами, дезинсекция от блох</t>
  </si>
  <si>
    <t>капитальный ремонт под № 4</t>
  </si>
  <si>
    <t>Побелка бордюр и деревьев, дезинсекция против блох</t>
  </si>
  <si>
    <t>Ремонт межпанельных швов кв.37</t>
  </si>
  <si>
    <t>Устройство отлива металлического на карнизе кв. 37</t>
  </si>
  <si>
    <t>Замена предохранителя на эл. Щитке</t>
  </si>
  <si>
    <t>Смена эл. Лампочек  в местах общего пользования</t>
  </si>
  <si>
    <t>Текущий ремонт двери в подвале</t>
  </si>
  <si>
    <t>Установка светильников ЖКО - свет 02205004 (Пегас)</t>
  </si>
  <si>
    <t>Ремонт мягкой кровли кв.№ 59,60,78,79,58,77 - 257,27 м2</t>
  </si>
  <si>
    <t>Устройство отливов на карнизе кв. № 60</t>
  </si>
  <si>
    <t>Ремонт двери в подвале</t>
  </si>
  <si>
    <t>Ремонт подъезда № 1,3, 2, 4</t>
  </si>
  <si>
    <t>Устройство почтовых площадок  в подъелах № 1-4</t>
  </si>
  <si>
    <t>Ремонт мягкой кровли кв.№ 17,18 = 60 м2</t>
  </si>
  <si>
    <t>Замена предохранителя на элщитке</t>
  </si>
  <si>
    <t>Окраска цоколя под. № 1-6  - 560 м2</t>
  </si>
  <si>
    <t>Изготовление и установка ограждения вокруг дома, окраска</t>
  </si>
  <si>
    <t>Ремонт мягкой кровли тамбуров под. № 1-6, покраска тамбуров</t>
  </si>
  <si>
    <t>Штукатурка оконных откосов</t>
  </si>
  <si>
    <t>Ремонт мягкой кровли тамбуров, окраска  в под. № 1-4</t>
  </si>
  <si>
    <t>Устройство решеток на подвальных окнах, ремонт дверей сходов в подвал</t>
  </si>
  <si>
    <t>Устройство ограждений воруг дома придомовой территории</t>
  </si>
  <si>
    <t xml:space="preserve">Ремонт цоколей </t>
  </si>
  <si>
    <t>Замена окон в подъездах № 2,3,4 на ПВХ</t>
  </si>
  <si>
    <t>Ремонт системы  холодного водоснабжения кв.30</t>
  </si>
  <si>
    <t>за 2 квартал 2012 год</t>
  </si>
  <si>
    <t>Баланс на начало отчетного периода</t>
  </si>
  <si>
    <t>2 микор Д. 40 к. 1</t>
  </si>
  <si>
    <t xml:space="preserve">Предоставление коммунальных услуг по договору управления многоквартирным домом № </t>
  </si>
  <si>
    <t>улице, микрорайону</t>
  </si>
  <si>
    <t>Наименование  коммунальных услуг</t>
  </si>
  <si>
    <t>Ед. изм.</t>
  </si>
  <si>
    <t>Утвержденный тариф на отчетный год, руб.</t>
  </si>
  <si>
    <t>Предоставлено собственникам и прочим потребителям</t>
  </si>
  <si>
    <t>Показания общедомового прибора учета ресурса</t>
  </si>
  <si>
    <t>Объем ресурса, потребленного:</t>
  </si>
  <si>
    <t>на общедомовое имущества в МКД</t>
  </si>
  <si>
    <t>в жилых и нежилых помещениях (гр6-гр5)-гр7</t>
  </si>
  <si>
    <t>Стоимость комуслуг по гр.8 с учетом качества предоставления коммунального ресурса РСО, руб.</t>
  </si>
  <si>
    <t>Оплачено собственниками и прочими потребителями, руб.</t>
  </si>
  <si>
    <t>Задолженность (-) или переплата (+) по оплате коммунальных услуг , руб.</t>
  </si>
  <si>
    <t>на 01.01.2012 г.</t>
  </si>
  <si>
    <t>за 2012 год</t>
  </si>
  <si>
    <t>Холодное водоснабжение</t>
  </si>
  <si>
    <t>м3</t>
  </si>
  <si>
    <t>в т.ч. в нежилых помещениях</t>
  </si>
  <si>
    <t>Горячее  водоснабжение</t>
  </si>
  <si>
    <t>Водоотведение</t>
  </si>
  <si>
    <t>Отопление</t>
  </si>
  <si>
    <t>Электроснабжение</t>
  </si>
  <si>
    <t>Гкал</t>
  </si>
  <si>
    <t>квт/ч</t>
  </si>
  <si>
    <t>Главный зкономист</t>
  </si>
  <si>
    <t>Приложение № 1</t>
  </si>
  <si>
    <t>Приложение № 2</t>
  </si>
  <si>
    <t>Окраска шлагбаума</t>
  </si>
  <si>
    <t xml:space="preserve">Ремонт подъездов № </t>
  </si>
  <si>
    <t>Спил сухих деревьев</t>
  </si>
  <si>
    <t>Прочистка дымоходов и вентканалов ООО "Начин" Безопастные средства"</t>
  </si>
  <si>
    <t>Замна эл. Лампочек в местах общего пользования</t>
  </si>
  <si>
    <t>Капитальный ремонт нижнего розлива отопления</t>
  </si>
  <si>
    <t>Капитальный ремонт нижнего розлива холодной и горячей воды</t>
  </si>
  <si>
    <t>Ремонт кровли над машинном отделении</t>
  </si>
  <si>
    <t>Ремонт текущий кровли над кв. № 50</t>
  </si>
  <si>
    <t xml:space="preserve">Ремонт контейнеров для сбора ТБО </t>
  </si>
  <si>
    <t>Ремонт мягкой кровли кв. 78,72,69,60, кв.53</t>
  </si>
  <si>
    <t>Ремонт системы теплоснабжения, ревизия сетей</t>
  </si>
  <si>
    <t>Установка светильников с датчиками на движение</t>
  </si>
  <si>
    <t>Выкос сорных трав ( 1100 м2, 3 кв-1100м2)</t>
  </si>
  <si>
    <t>Ремонт нижнего розлива горячего водоснабжения</t>
  </si>
  <si>
    <t xml:space="preserve">Техническое обслуживание дымоходов и вентканалов </t>
  </si>
  <si>
    <t>Выкос сорных трав (1100 м2, 3 кв - 3550м2)</t>
  </si>
  <si>
    <t>Замена электрических лампочек в местах общего пользования</t>
  </si>
  <si>
    <t>Ремонт общих стояков горячего и холодного водоснабжения в кв. № 6</t>
  </si>
  <si>
    <t>Ремонт кровли над под. № 1,2,3</t>
  </si>
  <si>
    <t>Выкос сорных трав (1380 м2, 3 кв -3240м2)</t>
  </si>
  <si>
    <t>Окраска малых форм, лавочек</t>
  </si>
  <si>
    <t>Выкос сорных трав (1280 м2,3 кв -  3120 м2)</t>
  </si>
  <si>
    <t>Ремонт кв. № 20</t>
  </si>
  <si>
    <t>Ремонт мягкой кровли S-1200 м2</t>
  </si>
  <si>
    <t>Выкос карантинных трав - 1050 м2, 3 кв.-1050м2</t>
  </si>
  <si>
    <t xml:space="preserve">Герметизация температурного шва </t>
  </si>
  <si>
    <t>Ремонт штукатурки стены в подвальном помещении</t>
  </si>
  <si>
    <t>Ремонт мягкой кровли кв. 30, кв.10, 20,39,40</t>
  </si>
  <si>
    <t>Выкос карантинных трав (1020, м2, 3кв-1020м2)</t>
  </si>
  <si>
    <t xml:space="preserve">Ремонт </t>
  </si>
  <si>
    <t>Выкос сорных трав (1920 м2, 3 кв-2657 м2)</t>
  </si>
  <si>
    <t xml:space="preserve">Замена эл. лампочек в подьездах, установка светильников </t>
  </si>
  <si>
    <t>Ремонт мягкой кровли кв.№ 40,49,50,48,45,44,42,51,55,57,59,60,30,39,29,</t>
  </si>
  <si>
    <t>Ремонт мягкой кровли над подъездом № 4</t>
  </si>
  <si>
    <t>Замена эл. лампочек в подьездах, установка светильников</t>
  </si>
  <si>
    <t xml:space="preserve">Уборка мусора с кровли </t>
  </si>
  <si>
    <t>Устройство окон ПВХ в подъезде № 6</t>
  </si>
  <si>
    <t>Выкос сорных трав (1050 м2) (детские площадки 1277,5 м2-1995,75 м2, 3 кв-1307м2)</t>
  </si>
  <si>
    <t>Выкос сорных трав (1460 м2, 3 кв.- 2327м2)</t>
  </si>
  <si>
    <t xml:space="preserve">Изготовление и установка скамейки </t>
  </si>
  <si>
    <t xml:space="preserve">Ремонт кв. </t>
  </si>
  <si>
    <t>Замена лестничного марша в под. № 1,замена  перил</t>
  </si>
  <si>
    <t>Ремонт  входных дверей в подъезд №1</t>
  </si>
  <si>
    <t>Установка двери в помещение - лифтерной</t>
  </si>
  <si>
    <t>Выкос сорных трав (1220 м2, 1277,5 м2,3 кв-1307м2)</t>
  </si>
  <si>
    <t>Установка  светильника сдатчиками на движение в подъездах</t>
  </si>
  <si>
    <t>Устройство москитной сетки в под № 3</t>
  </si>
  <si>
    <t>Ремонт системы теплоснабжения, ревизия тепловых сетей</t>
  </si>
  <si>
    <t>Периодическая проверка общедомов прибора учета тепловой энергии в специализиров организации и установка</t>
  </si>
  <si>
    <t>Ремонт системы теплоснабжения, ревизия  тепловых сетей</t>
  </si>
  <si>
    <t>Ремонт мягкой кровли кв.№ 10 (230 м2)кв.40</t>
  </si>
  <si>
    <t>Замена подвальной двери (сход в подвал)</t>
  </si>
  <si>
    <t xml:space="preserve">Опрессовка и промывка отопительной системы </t>
  </si>
  <si>
    <t>Ремонт системы теплоснабжения, ревизия системы отопления</t>
  </si>
  <si>
    <t>Ремонт межпанельных швов на стенах дома кв. 48,60</t>
  </si>
  <si>
    <t>Ремонт мягкой кровли  кв.№ 50 (120м2),кв. №9,10, кв. № 32,60</t>
  </si>
  <si>
    <t>Ремонт подъездов № 3,4,6, 3 квартал  -  подъезды №№ 1,2,5</t>
  </si>
  <si>
    <t>Ремонт оконных откосов в подъездах</t>
  </si>
  <si>
    <t>Выкос сорных трав (1302 м2)  д/площадка (1680 м2), 3 кв - 2018м2</t>
  </si>
  <si>
    <t>Ремонт межпанельного шва на стене дома</t>
  </si>
  <si>
    <t>Устройство новых почтовых ящиков в подъездах №№ 1-6</t>
  </si>
  <si>
    <t>Ремонт мягкой кровли над тамбурами № 1-6, и кв. 30</t>
  </si>
  <si>
    <t>Выкос сорных трав (1700 м2, 3 кв - 1700м2)</t>
  </si>
  <si>
    <t>выкос сорных трав 1660 м2, 3 кв - 2895 м2 )</t>
  </si>
  <si>
    <t>Ремонт подъезда № 5</t>
  </si>
  <si>
    <t>Техническое обслуживание дымоходов и вентканалов</t>
  </si>
  <si>
    <t>Ремонт нижнего розлива горячего  водопровода</t>
  </si>
  <si>
    <t>Ремонт оконных откосов в подъезде № 1 дома</t>
  </si>
  <si>
    <t>Выкос сорных трав (1620 м2, 3 кв - 1966м2)</t>
  </si>
  <si>
    <t>Выкос сорных трав 1680 м2, 3 кв - 1775 м2</t>
  </si>
  <si>
    <t>Спил сухих деревьев при помощи автовышки</t>
  </si>
  <si>
    <t>Замена запорной арматуры на нижних розливах (задвижки, вентеля)</t>
  </si>
  <si>
    <t>Выкос сорных трав (1380 м2 + 880 м2, 2260 м2)</t>
  </si>
  <si>
    <t>Установка светильников с датчиками на движение в подъездах дома</t>
  </si>
  <si>
    <t>Выкос сорных трав - 1500  м2, 3 кв - 2060м2</t>
  </si>
  <si>
    <t>Смена эл лампочек в местах общего пользования</t>
  </si>
  <si>
    <t>Периодическая проверка общед прибора учета теплоэнергии в специализ предприятии, установка его</t>
  </si>
  <si>
    <t>выкос сорных трав - 880 м2+1243 м2, 3 кв - 1320м2+2280м2</t>
  </si>
  <si>
    <t>Ремонт системы теплоснабжения, ревизия инженерных сетей</t>
  </si>
  <si>
    <t>выкос сорных трав - 2560 м2+ 3 кв 1320 м2, +2720м2</t>
  </si>
  <si>
    <t>Ремонт межпанельных швов кв.59,60 3 квартал - кв № 56</t>
  </si>
  <si>
    <t>Ремонт системы теплоснабжения, ревизия системы</t>
  </si>
  <si>
    <t>Изготовление и устройство ограждения  (палисадник)дома</t>
  </si>
  <si>
    <t>Выкос сорных трав - 2600 м2+ 3 кв - 1320м2+1720м2</t>
  </si>
  <si>
    <t>Окраска малых форм, ограждений спортивной площадки</t>
  </si>
  <si>
    <t>Установка канализационных люков</t>
  </si>
  <si>
    <t>Изготовление и устройство ограждения вокруг дома</t>
  </si>
  <si>
    <t>Выкос сорных трав - 2340 м2, 3 кв - 2340м2+1320м2</t>
  </si>
  <si>
    <t>выкос сорных трав - 2340 м2, 3кв - 2340м2</t>
  </si>
  <si>
    <t>Периодическая проверка теобщедомов прибора учета теплов энергии в специализ предприят</t>
  </si>
  <si>
    <t>Ремонт  общего стояка  по холодной воде в кв. 52</t>
  </si>
  <si>
    <t>Ремонт подъездов № 1-6</t>
  </si>
  <si>
    <t>Ремонт схода в подвал</t>
  </si>
  <si>
    <t>Замена окон в подъездах № 5,6,2 на ПВХ</t>
  </si>
  <si>
    <t>Выкос сорных трав - 1350 м2, 3 кв - 1350м2</t>
  </si>
  <si>
    <t>Выкос сорных трав 3 кв - 990м2</t>
  </si>
  <si>
    <t>Ремонт стояка общего пользования в кв. № 35</t>
  </si>
  <si>
    <t>Ремонт подъезда №1,2, 3,4,5,6</t>
  </si>
  <si>
    <t>Ремонт штукатурки оконных откосов</t>
  </si>
  <si>
    <t>Выкос сорных трав (1380 м2, 3 кв-1277м2+1380м2)</t>
  </si>
  <si>
    <t xml:space="preserve">Ремонт потолоков </t>
  </si>
  <si>
    <t>Частичный ремонт шиферной кровли</t>
  </si>
  <si>
    <t>Выкос сорных трав 3 кв - 1160м2</t>
  </si>
  <si>
    <t>Собрано средств на оплату предоставленных услуг за 3 кв.2012 г.</t>
  </si>
  <si>
    <t>Собрано средств на оплату предоставленных услуг за 2 кв.2012 г.</t>
  </si>
  <si>
    <t>за 3 квартал 2012 год</t>
  </si>
  <si>
    <t>Горького,13</t>
  </si>
  <si>
    <t>Ремонт жесткой  кровли кв.№ 23</t>
  </si>
  <si>
    <t>Выкос сорных (карантийных) трав( 2 кв. - 600 м2, 3 кв-780 м2,4кв-300м2)</t>
  </si>
  <si>
    <t>Ремонт мягкой кровли кв. 50,51</t>
  </si>
  <si>
    <t>Промывка и опрессовка системы отопления</t>
  </si>
  <si>
    <t>Обработка ствола мусоропровода дезсредствами</t>
  </si>
  <si>
    <t>Ремонт квартиры № 79 после протечки кровли</t>
  </si>
  <si>
    <t>Ремонт потолка кв №50</t>
  </si>
  <si>
    <t>Техническое обслуживание дымоходов и вентканалов специализированной организацией</t>
  </si>
  <si>
    <t>Замена замка на подвальных и чердачных дверях</t>
  </si>
  <si>
    <t>Ревизия запорной арматуры на нижних розливах</t>
  </si>
  <si>
    <t>Ремонт чердачных  и подвальных дверей</t>
  </si>
  <si>
    <t>Выкос сорных трав (2 кв. - 2400м2, 3 кв-1740м2, 4кв-400м2)</t>
  </si>
  <si>
    <t>Ремонт нижнего розлива  канализации</t>
  </si>
  <si>
    <t>Ремонт кровли кв.№26,62,79</t>
  </si>
  <si>
    <t>Выкос сорных трав (1200 м2, 3 кв - 2577м2, 4кв - 4000м2)</t>
  </si>
  <si>
    <t>Ремонт в подьезде №1,4</t>
  </si>
  <si>
    <t>Окраска газовых труб 187 м</t>
  </si>
  <si>
    <t>Ремонт мягкой кровли кв.106,25,52,106-балкон</t>
  </si>
  <si>
    <t>Замена стекол на окнах в местах общего пользования</t>
  </si>
  <si>
    <t>Ремонт мягкой кровли кв.№ 20 S 80м2, кв.№ 60, № 59</t>
  </si>
  <si>
    <t>Замена ламп накаливания в местах общего пользования</t>
  </si>
  <si>
    <t xml:space="preserve">Изготовление и установка перил в подъезде № </t>
  </si>
  <si>
    <t>Ремонт нижнего розлива холодной и горячей воды</t>
  </si>
  <si>
    <t>Ремонт подъезда № 4</t>
  </si>
  <si>
    <t>Обработка подвала дезсредствами от блох (дезинсекция)</t>
  </si>
  <si>
    <t>Ремонт мягкой кровли кв.№ 19 (105 м2) кв.20, кв. 49,59+потолок 31м2, 60, 9</t>
  </si>
  <si>
    <t xml:space="preserve">Замена запорной арматуры (задвижки) нижнего розлива </t>
  </si>
  <si>
    <t>Замена  и опломбирование счетчика в квартирах, и общедомовоно прибора по расходу теплоэнергии</t>
  </si>
  <si>
    <t>Ремонт в подьезде №6</t>
  </si>
  <si>
    <t>Изготовление и установка перил в подъезде</t>
  </si>
  <si>
    <t>Ремонт мягкой кровли кв.№ 20, подъезд №6, кв.10</t>
  </si>
  <si>
    <t>Покос сорных трав (1277,5 м2, 1580 м2, 3 кв-2887м2, 4кв - 540м2)</t>
  </si>
  <si>
    <t>Ремонт подъезда № 1 и 3</t>
  </si>
  <si>
    <t xml:space="preserve">Ремонт канализационного колодца </t>
  </si>
  <si>
    <t>Замена  и опломбирование счетчика в квартирах, общедомовой прибор учета по теплу</t>
  </si>
  <si>
    <t>Ремон(частичный) квартиры № 26</t>
  </si>
  <si>
    <t>Выкос сорных трав (800м2, 3кв-800м2, 4 кв - 1080 м2)</t>
  </si>
  <si>
    <t>Гидрофобизация стен дома</t>
  </si>
  <si>
    <t>Ремон(капитальный)  подъезда № 1,2</t>
  </si>
  <si>
    <t>Установка почтовых ящиков</t>
  </si>
  <si>
    <t>Устройство поручней, перил</t>
  </si>
  <si>
    <t>Выкос сорных трав (1260м2,1277,5 м2, 3кв - 2567м2, 4кв - 1200м2)</t>
  </si>
  <si>
    <t>Ремонт мягкой кровли кв.№ 30,60, кв.59</t>
  </si>
  <si>
    <t>Выкос сорных трав (1620 м2, 4 кв - 1690м2)</t>
  </si>
  <si>
    <t>ТО общедомового прибора учета тепловой энергии</t>
  </si>
  <si>
    <t>Ремонт мягкой кровли  над кв.28+козырек балкона, кв 40</t>
  </si>
  <si>
    <t>Выкос сорных трав (1720 м2, 3 кв-1720м2, 4кв - 1350м2)</t>
  </si>
  <si>
    <t>Опломбирование общедомового прибора учета тепловой энергии</t>
  </si>
  <si>
    <t>Выкос сорных трав (1620 м2,4 кв - 540м2)</t>
  </si>
  <si>
    <t>Ремонт   подъезда. № 4,1</t>
  </si>
  <si>
    <t>Ремонт мягкой кровли кв.№ 19,20,60</t>
  </si>
  <si>
    <t>Выкос сорных трав (1400 м2, 3кв - 1400м2, 4 кв-1200 м2)</t>
  </si>
  <si>
    <t>Ремонт мягкой кровли кв.№ 12,42,10</t>
  </si>
  <si>
    <t>Выкос сорных трав (1360 м2, 3кв - 1360м2, 4кв - 720м2)</t>
  </si>
  <si>
    <t>Техническое обслуживание дымоходов и вентканалов специализированной организацией ООО "Начин ТСО"</t>
  </si>
  <si>
    <t>Выкос сорных трав (1720 м2, 3 кв - 1720м2, 4кв - 1520м2)</t>
  </si>
  <si>
    <t>Выкос сорных трав (1650 м2, кв. № 1650м2, 4кв-660м2)</t>
  </si>
  <si>
    <t>Ремонт мягкой кровли кв.№ 19,20,60 (285 м2) кв. № 49,50,кв 28,кв40</t>
  </si>
  <si>
    <t>Ремонт мягкой кровли кв.№ 10 (105 м2) кв.39,40,49,50,20</t>
  </si>
  <si>
    <t>Замена окон в под. №3 на ПВХ, 4кв-под№1</t>
  </si>
  <si>
    <t>Установка детского комплекса</t>
  </si>
  <si>
    <t>Ремонт мягкой кровли кв.№ 39 кв.19</t>
  </si>
  <si>
    <t>Ремонт подъезда № 2,4,1</t>
  </si>
  <si>
    <t>Устройство окон из ПВХ в подъезде № 3,4,1</t>
  </si>
  <si>
    <t>Ремонт подъезда №3</t>
  </si>
  <si>
    <t xml:space="preserve">Ремонт крыльца </t>
  </si>
  <si>
    <t>Ремонт оконных решеток в подвале, ремонт рам в подъезде и остекление</t>
  </si>
  <si>
    <t>Ремонт мягкой кровли  кв № 19,40,80</t>
  </si>
  <si>
    <t>Ремонт оконных рам и остекление рам</t>
  </si>
  <si>
    <t>Ремонт люка на чердаке дома</t>
  </si>
  <si>
    <t>Ремонт мягкой кровли кв.№ 59,57,58,60</t>
  </si>
  <si>
    <t>Ремонт (капитальный) нижнего розлива холодного водоснабжения</t>
  </si>
  <si>
    <t>Ремонт мягкой кровли  кв. № 49,50</t>
  </si>
  <si>
    <t xml:space="preserve">Ремонт мягкой кровли кв.30 </t>
  </si>
  <si>
    <t>Выкос сорных трав 4 кв - 1200м2</t>
  </si>
  <si>
    <t>за 4  квартал 2012 год</t>
  </si>
  <si>
    <t>за    2012 год</t>
  </si>
  <si>
    <t>2 микр Д. 40 к. 1</t>
  </si>
  <si>
    <t>Зарплата</t>
  </si>
  <si>
    <t>отчисления 20,2%</t>
  </si>
  <si>
    <t>Расшифровка по статьям затрат:</t>
  </si>
  <si>
    <t xml:space="preserve">ГСМ </t>
  </si>
  <si>
    <t>Возмездные услуги РИЦ</t>
  </si>
  <si>
    <t>Услуги свзи</t>
  </si>
  <si>
    <t>Амортизация ОС</t>
  </si>
  <si>
    <t>Коммунальные услуги</t>
  </si>
  <si>
    <t>Канцтовары + бумага</t>
  </si>
  <si>
    <t>Другие расходы:</t>
  </si>
  <si>
    <t>Услуги почты (конверты, заказные письма)</t>
  </si>
  <si>
    <t>Консультационные услуги</t>
  </si>
  <si>
    <t>Командировочные расходы</t>
  </si>
  <si>
    <t>Нотариальные услуги</t>
  </si>
  <si>
    <t>Переподготовка электромонтера</t>
  </si>
  <si>
    <t>Подписка на газеты и журналы</t>
  </si>
  <si>
    <t>Использование программы Контур</t>
  </si>
  <si>
    <t>прочие</t>
  </si>
  <si>
    <t>Итого</t>
  </si>
  <si>
    <t>Ремонт мягкой кровли</t>
  </si>
  <si>
    <t>Капрем нижнего розлив г/воды</t>
  </si>
  <si>
    <t>Капрем нижнего розлив х/воды</t>
  </si>
  <si>
    <t>Капрем подъездов</t>
  </si>
  <si>
    <t>Ремонт лифтового оборуд дом 25а</t>
  </si>
  <si>
    <t>Замена окон из ПВХ</t>
  </si>
  <si>
    <t>в т.ч. Капрем МКД №17 2 микр</t>
  </si>
  <si>
    <t>капрем МКД №26 2 микр</t>
  </si>
  <si>
    <t>капрем МКД № 37 2 микр</t>
  </si>
  <si>
    <t>Ремонт жесткой кровли д.40 к.1</t>
  </si>
  <si>
    <t>Капрем системы н/розлива отопления</t>
  </si>
  <si>
    <t>Транспортные расходы</t>
  </si>
  <si>
    <t>Ремонт а/машины</t>
  </si>
  <si>
    <t xml:space="preserve">Гидрофобизация стены д. 3 25 а </t>
  </si>
  <si>
    <t>Инвентарь+спецодежда</t>
  </si>
  <si>
    <t xml:space="preserve">Другие </t>
  </si>
  <si>
    <t>по  бухучету</t>
  </si>
  <si>
    <t>по бухучету</t>
  </si>
  <si>
    <t>Собрано средств на оплату предоставленных услуг за .2012 г.</t>
  </si>
  <si>
    <t>Собрано средств на оплату предоставленных услуг за 4 кв.2012 г.</t>
  </si>
  <si>
    <t>заделка швов тамбура № 1-6</t>
  </si>
  <si>
    <t>ТО общедомового прибора учета  э/энергии</t>
  </si>
  <si>
    <t>Ремонт общедомового прибора учета  э/энергии</t>
  </si>
  <si>
    <t>Опломбирование эл.счетчика кв.36 , установка  прибора учета х/воды</t>
  </si>
  <si>
    <t>Замена  и опломбирование счетчика в квартирах, общ дом прибора по теплу</t>
  </si>
  <si>
    <t>Опломбирование общедомового прибора учета , установка счетчика воды</t>
  </si>
  <si>
    <t>без ТО теплосчетчика</t>
  </si>
  <si>
    <t>Опломбирование общедомового прибора учета  э/энергии</t>
  </si>
  <si>
    <t>Дома одноэтажные</t>
  </si>
  <si>
    <t xml:space="preserve">Ремонт мягкой кровли (ООО "Витакс плюс") - 980 м2 </t>
  </si>
  <si>
    <t>Побелка бордюр и деревьев, цоколей. Мытье лестничных клеток с хлорной известью</t>
  </si>
  <si>
    <t>Частичный ремонт электрооборудования в местах общего пользования</t>
  </si>
  <si>
    <t>Главный бухгалтер                                                                                                     Л.Э. Босхомджиева</t>
  </si>
  <si>
    <t>Исполнительный директор</t>
  </si>
  <si>
    <t>Главный бухгалтер</t>
  </si>
  <si>
    <t>Л.Э. Босхомджиева</t>
  </si>
  <si>
    <r>
      <t xml:space="preserve">Адрес дома: </t>
    </r>
    <r>
      <rPr>
        <b/>
        <sz val="8"/>
        <rFont val="Arial Cyr"/>
        <family val="0"/>
      </rPr>
      <t>2 микрорайон, д.11</t>
    </r>
  </si>
  <si>
    <r>
      <t xml:space="preserve">Адрес дома: </t>
    </r>
    <r>
      <rPr>
        <b/>
        <sz val="8"/>
        <rFont val="Arial Cyr"/>
        <family val="0"/>
      </rPr>
      <t>2 микрорайон, д.12</t>
    </r>
  </si>
  <si>
    <r>
      <t xml:space="preserve">Адрес дома: </t>
    </r>
    <r>
      <rPr>
        <b/>
        <sz val="8"/>
        <rFont val="Arial Cyr"/>
        <family val="0"/>
      </rPr>
      <t>2 микрорайон, д.13</t>
    </r>
  </si>
  <si>
    <r>
      <t xml:space="preserve">Адрес дома: </t>
    </r>
    <r>
      <rPr>
        <b/>
        <sz val="8"/>
        <rFont val="Arial Cyr"/>
        <family val="0"/>
      </rPr>
      <t>2 микрорайон, д.13 б</t>
    </r>
  </si>
  <si>
    <r>
      <t xml:space="preserve">Адрес дома: </t>
    </r>
    <r>
      <rPr>
        <b/>
        <sz val="8"/>
        <rFont val="Arial Cyr"/>
        <family val="0"/>
      </rPr>
      <t>2 микрорайон, д.14</t>
    </r>
  </si>
  <si>
    <r>
      <t xml:space="preserve">Адрес дома: </t>
    </r>
    <r>
      <rPr>
        <b/>
        <sz val="8"/>
        <rFont val="Arial Cyr"/>
        <family val="0"/>
      </rPr>
      <t>2 микрорайон, д.15</t>
    </r>
  </si>
  <si>
    <r>
      <t xml:space="preserve">Адрес дома: </t>
    </r>
    <r>
      <rPr>
        <b/>
        <sz val="8"/>
        <rFont val="Arial Cyr"/>
        <family val="0"/>
      </rPr>
      <t>2 микрорайон, д.17</t>
    </r>
  </si>
  <si>
    <r>
      <t xml:space="preserve">Адрес дома: </t>
    </r>
    <r>
      <rPr>
        <b/>
        <sz val="8"/>
        <rFont val="Arial Cyr"/>
        <family val="0"/>
      </rPr>
      <t>2 микрорайон, д.18</t>
    </r>
  </si>
  <si>
    <r>
      <t xml:space="preserve">Адрес дома: </t>
    </r>
    <r>
      <rPr>
        <b/>
        <sz val="8"/>
        <rFont val="Arial Cyr"/>
        <family val="0"/>
      </rPr>
      <t>2 микрорайон, д.19</t>
    </r>
  </si>
  <si>
    <r>
      <t xml:space="preserve">Адрес дома: </t>
    </r>
    <r>
      <rPr>
        <b/>
        <sz val="8"/>
        <rFont val="Arial Cyr"/>
        <family val="0"/>
      </rPr>
      <t>2 микрорайон, д.20</t>
    </r>
  </si>
  <si>
    <r>
      <t xml:space="preserve">Адрес дома: </t>
    </r>
    <r>
      <rPr>
        <b/>
        <sz val="8"/>
        <rFont val="Arial Cyr"/>
        <family val="0"/>
      </rPr>
      <t>2 микрорайон, д.21</t>
    </r>
  </si>
  <si>
    <r>
      <t xml:space="preserve">Адрес дома: </t>
    </r>
    <r>
      <rPr>
        <b/>
        <sz val="8"/>
        <rFont val="Arial Cyr"/>
        <family val="0"/>
      </rPr>
      <t>2 микрорайон, д.22</t>
    </r>
  </si>
  <si>
    <r>
      <t xml:space="preserve">Адрес дома: </t>
    </r>
    <r>
      <rPr>
        <b/>
        <sz val="8"/>
        <rFont val="Arial Cyr"/>
        <family val="0"/>
      </rPr>
      <t>2 микрорайон, д.23</t>
    </r>
  </si>
  <si>
    <r>
      <t xml:space="preserve">Адрес дома: </t>
    </r>
    <r>
      <rPr>
        <b/>
        <sz val="8"/>
        <rFont val="Arial Cyr"/>
        <family val="0"/>
      </rPr>
      <t>2 микрорайон, д.23 а</t>
    </r>
  </si>
  <si>
    <r>
      <t xml:space="preserve">Адрес дома: </t>
    </r>
    <r>
      <rPr>
        <b/>
        <sz val="8"/>
        <rFont val="Arial Cyr"/>
        <family val="0"/>
      </rPr>
      <t>2 микрорайон, д.24</t>
    </r>
  </si>
  <si>
    <r>
      <t xml:space="preserve">Адрес дома: </t>
    </r>
    <r>
      <rPr>
        <b/>
        <sz val="8"/>
        <rFont val="Arial Cyr"/>
        <family val="0"/>
      </rPr>
      <t>2 микрорайон, д.25</t>
    </r>
  </si>
  <si>
    <r>
      <t xml:space="preserve">Адрес дома: </t>
    </r>
    <r>
      <rPr>
        <b/>
        <sz val="8"/>
        <rFont val="Arial Cyr"/>
        <family val="0"/>
      </rPr>
      <t>2 микрорайон, д.25 а</t>
    </r>
  </si>
  <si>
    <r>
      <t xml:space="preserve">Адрес дома: </t>
    </r>
    <r>
      <rPr>
        <b/>
        <sz val="8"/>
        <rFont val="Arial Cyr"/>
        <family val="0"/>
      </rPr>
      <t>2 микрорайон, д.26</t>
    </r>
  </si>
  <si>
    <r>
      <t xml:space="preserve">Адрес дома: </t>
    </r>
    <r>
      <rPr>
        <b/>
        <sz val="8"/>
        <rFont val="Arial Cyr"/>
        <family val="0"/>
      </rPr>
      <t>2 микрорайон, д.27</t>
    </r>
  </si>
  <si>
    <r>
      <t xml:space="preserve">Адрес дома: </t>
    </r>
    <r>
      <rPr>
        <b/>
        <sz val="8"/>
        <rFont val="Arial Cyr"/>
        <family val="0"/>
      </rPr>
      <t>2 микрорайон, д.28</t>
    </r>
  </si>
  <si>
    <r>
      <t xml:space="preserve">Адрес дома: </t>
    </r>
    <r>
      <rPr>
        <b/>
        <sz val="8"/>
        <rFont val="Arial Cyr"/>
        <family val="0"/>
      </rPr>
      <t>2 микрорайон, д.29</t>
    </r>
  </si>
  <si>
    <r>
      <t xml:space="preserve">Адрес дома: </t>
    </r>
    <r>
      <rPr>
        <b/>
        <sz val="8"/>
        <rFont val="Arial Cyr"/>
        <family val="0"/>
      </rPr>
      <t>2 микрорайон, д.30</t>
    </r>
  </si>
  <si>
    <r>
      <t xml:space="preserve">Адрес дома: </t>
    </r>
    <r>
      <rPr>
        <b/>
        <sz val="8"/>
        <rFont val="Arial Cyr"/>
        <family val="0"/>
      </rPr>
      <t>2 микрорайон, д.31</t>
    </r>
  </si>
  <si>
    <r>
      <t xml:space="preserve">Адрес дома: </t>
    </r>
    <r>
      <rPr>
        <b/>
        <sz val="8"/>
        <rFont val="Arial Cyr"/>
        <family val="0"/>
      </rPr>
      <t>2 микрорайон, д.32</t>
    </r>
  </si>
  <si>
    <r>
      <t xml:space="preserve">Адрес дома: </t>
    </r>
    <r>
      <rPr>
        <b/>
        <sz val="8"/>
        <rFont val="Arial Cyr"/>
        <family val="0"/>
      </rPr>
      <t>2 микрорайон, д.33</t>
    </r>
  </si>
  <si>
    <r>
      <t xml:space="preserve">Адрес дома: </t>
    </r>
    <r>
      <rPr>
        <b/>
        <sz val="8"/>
        <rFont val="Arial Cyr"/>
        <family val="0"/>
      </rPr>
      <t>2 микрорайон, д.34</t>
    </r>
  </si>
  <si>
    <r>
      <t xml:space="preserve">Адрес дома: </t>
    </r>
    <r>
      <rPr>
        <b/>
        <sz val="8"/>
        <rFont val="Arial Cyr"/>
        <family val="0"/>
      </rPr>
      <t>2 микрорайон, д.35</t>
    </r>
  </si>
  <si>
    <r>
      <t xml:space="preserve">Адрес дома: </t>
    </r>
    <r>
      <rPr>
        <b/>
        <sz val="8"/>
        <rFont val="Arial Cyr"/>
        <family val="0"/>
      </rPr>
      <t>2 микрорайон, д.36</t>
    </r>
  </si>
  <si>
    <r>
      <t xml:space="preserve">Адрес дома: </t>
    </r>
    <r>
      <rPr>
        <b/>
        <sz val="8"/>
        <rFont val="Arial Cyr"/>
        <family val="0"/>
      </rPr>
      <t>2 микрорайон, д.37</t>
    </r>
  </si>
  <si>
    <r>
      <t xml:space="preserve">Адрес дома: </t>
    </r>
    <r>
      <rPr>
        <b/>
        <sz val="8"/>
        <rFont val="Arial Cyr"/>
        <family val="0"/>
      </rPr>
      <t>2 микрорайон, д.38</t>
    </r>
  </si>
  <si>
    <r>
      <t xml:space="preserve">Адрес дома: </t>
    </r>
    <r>
      <rPr>
        <b/>
        <sz val="8"/>
        <rFont val="Arial Cyr"/>
        <family val="0"/>
      </rPr>
      <t>2 микрорайон, д.39</t>
    </r>
  </si>
  <si>
    <t>Авар-диспетчерское и авар-ремонтное обслуж системы электроснабжения</t>
  </si>
  <si>
    <t>Ремонт штукатурки вокруг ливн канализации на чердачном помещ под. №3</t>
  </si>
  <si>
    <t>управляющей организации ООО "Центральный" по многоквартирному дому по содержанию и ремонту общего имущества МКД   на 2012 г</t>
  </si>
  <si>
    <t>Техническое обслуживание дымох и венткан специализорганизацией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</si>
</sst>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&quot;р.&quot;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9"/>
      <color indexed="12"/>
      <name val="Arial Cyr"/>
      <family val="0"/>
    </font>
    <font>
      <sz val="8"/>
      <color indexed="10"/>
      <name val="Arial Cyr"/>
      <family val="0"/>
    </font>
    <font>
      <sz val="8"/>
      <color indexed="12"/>
      <name val="Arial Cyr"/>
      <family val="0"/>
    </font>
    <font>
      <i/>
      <sz val="8"/>
      <color indexed="10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/>
    </xf>
    <xf numFmtId="1" fontId="15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28" xfId="0" applyBorder="1" applyAlignment="1">
      <alignment/>
    </xf>
    <xf numFmtId="0" fontId="17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Border="1" applyAlignment="1">
      <alignment/>
    </xf>
    <xf numFmtId="0" fontId="1" fillId="0" borderId="35" xfId="0" applyFont="1" applyBorder="1" applyAlignment="1">
      <alignment/>
    </xf>
    <xf numFmtId="1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1" fontId="9" fillId="0" borderId="37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" fontId="0" fillId="0" borderId="4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2" fontId="1" fillId="0" borderId="39" xfId="0" applyNumberFormat="1" applyFont="1" applyBorder="1" applyAlignment="1">
      <alignment/>
    </xf>
    <xf numFmtId="1" fontId="1" fillId="0" borderId="4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2" fontId="10" fillId="0" borderId="21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21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1" fontId="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9" fillId="0" borderId="5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20" fillId="0" borderId="1" xfId="20" applyFont="1" applyBorder="1" applyAlignment="1">
      <alignment wrapText="1"/>
    </xf>
    <xf numFmtId="2" fontId="9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5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6"/>
  <sheetViews>
    <sheetView tabSelected="1" workbookViewId="0" topLeftCell="A965">
      <selection activeCell="L973" sqref="L973"/>
    </sheetView>
  </sheetViews>
  <sheetFormatPr defaultColWidth="9.00390625" defaultRowHeight="12.75"/>
  <cols>
    <col min="1" max="1" width="51.625" style="0" customWidth="1"/>
    <col min="3" max="3" width="10.125" style="0" customWidth="1"/>
    <col min="4" max="4" width="9.75390625" style="0" customWidth="1"/>
    <col min="5" max="5" width="10.125" style="0" customWidth="1"/>
    <col min="6" max="6" width="11.25390625" style="0" customWidth="1"/>
  </cols>
  <sheetData>
    <row r="1" spans="1:6" ht="12.75">
      <c r="A1" s="120" t="s">
        <v>35</v>
      </c>
      <c r="B1" s="120"/>
      <c r="C1" s="29"/>
      <c r="D1" s="29"/>
      <c r="E1" s="29"/>
      <c r="F1" s="29"/>
    </row>
    <row r="2" spans="1:6" ht="12.75">
      <c r="A2" s="29" t="s">
        <v>616</v>
      </c>
      <c r="B2" s="29"/>
      <c r="C2" s="29"/>
      <c r="D2" s="29"/>
      <c r="E2" s="29"/>
      <c r="F2" s="29"/>
    </row>
    <row r="3" spans="1:6" ht="12.75">
      <c r="A3" s="29" t="s">
        <v>583</v>
      </c>
      <c r="B3" s="29"/>
      <c r="C3" s="29"/>
      <c r="D3" s="29"/>
      <c r="E3" s="29" t="s">
        <v>340</v>
      </c>
      <c r="F3" s="29"/>
    </row>
    <row r="4" spans="1:6" ht="12.75">
      <c r="A4" s="10" t="s">
        <v>1</v>
      </c>
      <c r="B4" s="10" t="s">
        <v>11</v>
      </c>
      <c r="C4" s="10" t="s">
        <v>86</v>
      </c>
      <c r="D4" s="10" t="s">
        <v>87</v>
      </c>
      <c r="E4" s="10" t="s">
        <v>120</v>
      </c>
      <c r="F4" s="10" t="s">
        <v>141</v>
      </c>
    </row>
    <row r="5" spans="1:6" ht="12.75">
      <c r="A5" s="22" t="s">
        <v>6</v>
      </c>
      <c r="B5" s="22"/>
      <c r="C5" s="10"/>
      <c r="D5" s="5"/>
      <c r="E5" s="5"/>
      <c r="F5" s="5"/>
    </row>
    <row r="6" spans="1:6" ht="12.75" customHeight="1">
      <c r="A6" s="5" t="s">
        <v>2</v>
      </c>
      <c r="B6" s="5"/>
      <c r="C6" s="10">
        <v>5</v>
      </c>
      <c r="D6" s="5"/>
      <c r="E6" s="5"/>
      <c r="F6" s="5"/>
    </row>
    <row r="7" spans="1:6" ht="12.75" customHeight="1">
      <c r="A7" s="5" t="s">
        <v>3</v>
      </c>
      <c r="B7" s="5"/>
      <c r="C7" s="10">
        <v>6</v>
      </c>
      <c r="D7" s="5"/>
      <c r="E7" s="5"/>
      <c r="F7" s="5"/>
    </row>
    <row r="8" spans="1:6" ht="12.75">
      <c r="A8" s="5" t="s">
        <v>4</v>
      </c>
      <c r="B8" s="5"/>
      <c r="C8" s="10">
        <v>114</v>
      </c>
      <c r="D8" s="5"/>
      <c r="E8" s="5"/>
      <c r="F8" s="5"/>
    </row>
    <row r="9" spans="1:6" ht="12.75">
      <c r="A9" s="5" t="s">
        <v>5</v>
      </c>
      <c r="B9" s="5"/>
      <c r="C9" s="10">
        <v>4595.66</v>
      </c>
      <c r="D9" s="5"/>
      <c r="E9" s="5"/>
      <c r="F9" s="5"/>
    </row>
    <row r="10" spans="1:6" ht="25.5" customHeight="1">
      <c r="A10" s="150" t="s">
        <v>7</v>
      </c>
      <c r="B10" s="150"/>
      <c r="C10" s="5" t="s">
        <v>36</v>
      </c>
      <c r="D10" s="5"/>
      <c r="E10" s="5"/>
      <c r="F10" s="5"/>
    </row>
    <row r="11" spans="1:6" ht="24" customHeight="1">
      <c r="A11" s="151" t="s">
        <v>8</v>
      </c>
      <c r="B11" s="152">
        <f>C11+D11+E11</f>
        <v>72872.81</v>
      </c>
      <c r="C11" s="10">
        <v>64008.01</v>
      </c>
      <c r="D11" s="10">
        <v>5970.74</v>
      </c>
      <c r="E11" s="10">
        <v>2894.06</v>
      </c>
      <c r="F11" s="13"/>
    </row>
    <row r="12" spans="1:6" ht="12.75">
      <c r="A12" s="5" t="s">
        <v>11</v>
      </c>
      <c r="B12" s="152">
        <f>B11</f>
        <v>72872.81</v>
      </c>
      <c r="C12" s="152">
        <f>C11</f>
        <v>64008.01</v>
      </c>
      <c r="D12" s="152">
        <f>D11</f>
        <v>5970.74</v>
      </c>
      <c r="E12" s="152">
        <f>E11</f>
        <v>2894.06</v>
      </c>
      <c r="F12" s="152">
        <f>F11</f>
        <v>0</v>
      </c>
    </row>
    <row r="13" spans="1:6" ht="24" customHeight="1">
      <c r="A13" s="150" t="s">
        <v>12</v>
      </c>
      <c r="B13" s="154">
        <f aca="true" t="shared" si="0" ref="B13:B43">C13+D13+E13+F13</f>
        <v>0</v>
      </c>
      <c r="C13" s="5"/>
      <c r="D13" s="5"/>
      <c r="E13" s="5"/>
      <c r="F13" s="12"/>
    </row>
    <row r="14" spans="1:7" ht="12.75" customHeight="1">
      <c r="A14" s="156" t="s">
        <v>13</v>
      </c>
      <c r="B14" s="154">
        <f t="shared" si="0"/>
        <v>34902.659002</v>
      </c>
      <c r="C14" s="157">
        <f>7.5947*C9</f>
        <v>34902.659002</v>
      </c>
      <c r="D14" s="157">
        <v>0</v>
      </c>
      <c r="E14" s="157"/>
      <c r="F14" s="157"/>
      <c r="G14" s="8"/>
    </row>
    <row r="15" spans="1:6" ht="11.25" customHeight="1">
      <c r="A15" s="156" t="s">
        <v>14</v>
      </c>
      <c r="B15" s="154">
        <f t="shared" si="0"/>
        <v>0</v>
      </c>
      <c r="C15" s="12"/>
      <c r="D15" s="12"/>
      <c r="E15" s="12"/>
      <c r="F15" s="12"/>
    </row>
    <row r="16" spans="1:6" ht="12.75" customHeight="1">
      <c r="A16" s="153" t="s">
        <v>15</v>
      </c>
      <c r="B16" s="154">
        <f t="shared" si="0"/>
        <v>17931</v>
      </c>
      <c r="C16" s="12">
        <v>17931</v>
      </c>
      <c r="D16" s="12"/>
      <c r="E16" s="12"/>
      <c r="F16" s="12"/>
    </row>
    <row r="17" spans="1:6" ht="12" customHeight="1">
      <c r="A17" s="158" t="s">
        <v>16</v>
      </c>
      <c r="B17" s="154">
        <f t="shared" si="0"/>
        <v>17631</v>
      </c>
      <c r="C17" s="12">
        <v>17631</v>
      </c>
      <c r="D17" s="12"/>
      <c r="E17" s="12"/>
      <c r="F17" s="12"/>
    </row>
    <row r="18" spans="1:6" ht="11.25" customHeight="1">
      <c r="A18" s="153" t="s">
        <v>33</v>
      </c>
      <c r="B18" s="154">
        <f t="shared" si="0"/>
        <v>17631</v>
      </c>
      <c r="C18" s="12">
        <v>17631</v>
      </c>
      <c r="D18" s="12"/>
      <c r="E18" s="12"/>
      <c r="F18" s="12"/>
    </row>
    <row r="19" spans="1:6" ht="12" customHeight="1">
      <c r="A19" s="153" t="s">
        <v>24</v>
      </c>
      <c r="B19" s="154">
        <f t="shared" si="0"/>
        <v>300.38</v>
      </c>
      <c r="C19" s="12">
        <v>300.38</v>
      </c>
      <c r="D19" s="12"/>
      <c r="E19" s="12"/>
      <c r="F19" s="12"/>
    </row>
    <row r="20" spans="1:6" ht="11.25" customHeight="1">
      <c r="A20" s="153" t="s">
        <v>17</v>
      </c>
      <c r="B20" s="154">
        <f t="shared" si="0"/>
        <v>0</v>
      </c>
      <c r="C20" s="12"/>
      <c r="D20" s="12"/>
      <c r="E20" s="12"/>
      <c r="F20" s="12"/>
    </row>
    <row r="21" spans="1:6" ht="10.5" customHeight="1">
      <c r="A21" s="153" t="s">
        <v>88</v>
      </c>
      <c r="B21" s="154">
        <f t="shared" si="0"/>
        <v>0</v>
      </c>
      <c r="C21" s="12"/>
      <c r="D21" s="12"/>
      <c r="E21" s="12"/>
      <c r="F21" s="12"/>
    </row>
    <row r="22" spans="1:6" ht="10.5" customHeight="1">
      <c r="A22" s="153" t="s">
        <v>89</v>
      </c>
      <c r="B22" s="154">
        <f t="shared" si="0"/>
        <v>0</v>
      </c>
      <c r="C22" s="12"/>
      <c r="D22" s="12"/>
      <c r="E22" s="12"/>
      <c r="F22" s="12"/>
    </row>
    <row r="23" spans="1:6" ht="10.5" customHeight="1">
      <c r="A23" s="153" t="s">
        <v>94</v>
      </c>
      <c r="B23" s="154">
        <f t="shared" si="0"/>
        <v>0</v>
      </c>
      <c r="C23" s="12"/>
      <c r="D23" s="12"/>
      <c r="E23" s="12"/>
      <c r="F23" s="12"/>
    </row>
    <row r="24" spans="1:6" ht="12.75">
      <c r="A24" s="155" t="s">
        <v>11</v>
      </c>
      <c r="B24" s="154">
        <f t="shared" si="0"/>
        <v>52833.659002</v>
      </c>
      <c r="C24" s="157">
        <f>C14+C16</f>
        <v>52833.659002</v>
      </c>
      <c r="D24" s="157">
        <f>D16+D14</f>
        <v>0</v>
      </c>
      <c r="E24" s="157">
        <f>E14+E16</f>
        <v>0</v>
      </c>
      <c r="F24" s="12">
        <f>F14+F16</f>
        <v>0</v>
      </c>
    </row>
    <row r="25" spans="1:6" ht="19.5" customHeight="1">
      <c r="A25" s="159" t="s">
        <v>18</v>
      </c>
      <c r="B25" s="154">
        <f t="shared" si="0"/>
        <v>0</v>
      </c>
      <c r="C25" s="12"/>
      <c r="D25" s="12"/>
      <c r="E25" s="12"/>
      <c r="F25" s="12"/>
    </row>
    <row r="26" spans="1:6" ht="12.75" customHeight="1">
      <c r="A26" s="153" t="s">
        <v>23</v>
      </c>
      <c r="B26" s="154">
        <f t="shared" si="0"/>
        <v>15974</v>
      </c>
      <c r="C26" s="12">
        <v>15974</v>
      </c>
      <c r="D26" s="12"/>
      <c r="E26" s="12"/>
      <c r="F26" s="12"/>
    </row>
    <row r="27" spans="1:6" ht="12" customHeight="1">
      <c r="A27" s="153" t="s">
        <v>29</v>
      </c>
      <c r="B27" s="154">
        <f t="shared" si="0"/>
        <v>0</v>
      </c>
      <c r="C27" s="12"/>
      <c r="D27" s="12"/>
      <c r="E27" s="12"/>
      <c r="F27" s="12"/>
    </row>
    <row r="28" spans="1:6" ht="12" customHeight="1">
      <c r="A28" s="153" t="s">
        <v>223</v>
      </c>
      <c r="B28" s="154">
        <f t="shared" si="0"/>
        <v>1248</v>
      </c>
      <c r="C28" s="12">
        <v>1248</v>
      </c>
      <c r="D28" s="12"/>
      <c r="E28" s="12"/>
      <c r="F28" s="12"/>
    </row>
    <row r="29" spans="1:6" ht="13.5" customHeight="1">
      <c r="A29" s="153" t="s">
        <v>30</v>
      </c>
      <c r="B29" s="154">
        <f t="shared" si="0"/>
        <v>0</v>
      </c>
      <c r="C29" s="12"/>
      <c r="D29" s="12"/>
      <c r="E29" s="12"/>
      <c r="F29" s="12"/>
    </row>
    <row r="30" spans="1:6" ht="11.25" customHeight="1">
      <c r="A30" s="153" t="s">
        <v>28</v>
      </c>
      <c r="B30" s="154">
        <f t="shared" si="0"/>
        <v>0</v>
      </c>
      <c r="C30" s="12"/>
      <c r="D30" s="12"/>
      <c r="E30" s="12"/>
      <c r="F30" s="12"/>
    </row>
    <row r="31" spans="1:6" ht="12" customHeight="1">
      <c r="A31" s="153" t="s">
        <v>26</v>
      </c>
      <c r="B31" s="154">
        <f t="shared" si="0"/>
        <v>0</v>
      </c>
      <c r="C31" s="12"/>
      <c r="D31" s="12"/>
      <c r="E31" s="12"/>
      <c r="F31" s="12"/>
    </row>
    <row r="32" spans="1:6" ht="12" customHeight="1">
      <c r="A32" s="153" t="s">
        <v>27</v>
      </c>
      <c r="B32" s="154">
        <f t="shared" si="0"/>
        <v>0</v>
      </c>
      <c r="C32" s="12"/>
      <c r="D32" s="5"/>
      <c r="E32" s="12"/>
      <c r="F32" s="12"/>
    </row>
    <row r="33" spans="1:6" ht="12" customHeight="1">
      <c r="A33" s="153" t="s">
        <v>225</v>
      </c>
      <c r="B33" s="154">
        <f t="shared" si="0"/>
        <v>658.73</v>
      </c>
      <c r="C33" s="12">
        <v>658.73</v>
      </c>
      <c r="D33" s="5"/>
      <c r="E33" s="12"/>
      <c r="F33" s="12"/>
    </row>
    <row r="34" spans="1:6" ht="12.75">
      <c r="A34" s="155" t="s">
        <v>11</v>
      </c>
      <c r="B34" s="160">
        <f t="shared" si="0"/>
        <v>17880.73</v>
      </c>
      <c r="C34" s="157">
        <f>C26+C27+C28+C29+C30+C31+C32+C33</f>
        <v>17880.73</v>
      </c>
      <c r="D34" s="157">
        <f>D26+D27+D28+D29+D30+D31+D32+D33</f>
        <v>0</v>
      </c>
      <c r="E34" s="157">
        <f>SUM(E26:E33)</f>
        <v>0</v>
      </c>
      <c r="F34" s="12">
        <f>SUM(F26:F33)</f>
        <v>0</v>
      </c>
    </row>
    <row r="35" spans="1:6" ht="12.75">
      <c r="A35" s="155" t="s">
        <v>19</v>
      </c>
      <c r="B35" s="154">
        <f t="shared" si="0"/>
        <v>0</v>
      </c>
      <c r="C35" s="12"/>
      <c r="D35" s="5"/>
      <c r="E35" s="12"/>
      <c r="F35" s="12"/>
    </row>
    <row r="36" spans="1:6" ht="12.75" customHeight="1">
      <c r="A36" s="153" t="s">
        <v>38</v>
      </c>
      <c r="B36" s="154">
        <f t="shared" si="0"/>
        <v>1004.91458956</v>
      </c>
      <c r="C36" s="12">
        <f>0.218666*C9</f>
        <v>1004.91458956</v>
      </c>
      <c r="D36" s="12"/>
      <c r="E36" s="12"/>
      <c r="F36" s="12"/>
    </row>
    <row r="37" spans="1:6" ht="14.25" customHeight="1">
      <c r="A37" s="153" t="s">
        <v>39</v>
      </c>
      <c r="B37" s="154">
        <f t="shared" si="0"/>
        <v>1408.95122978</v>
      </c>
      <c r="C37" s="12">
        <f>0.306583*C9</f>
        <v>1408.95122978</v>
      </c>
      <c r="D37" s="12"/>
      <c r="E37" s="12"/>
      <c r="F37" s="12"/>
    </row>
    <row r="38" spans="1:6" ht="12.75" customHeight="1">
      <c r="A38" s="153" t="s">
        <v>32</v>
      </c>
      <c r="B38" s="154">
        <f t="shared" si="0"/>
        <v>0</v>
      </c>
      <c r="C38" s="12"/>
      <c r="D38" s="12"/>
      <c r="E38" s="12"/>
      <c r="F38" s="12"/>
    </row>
    <row r="39" spans="1:6" ht="12.75" customHeight="1">
      <c r="A39" s="153" t="s">
        <v>37</v>
      </c>
      <c r="B39" s="154">
        <f t="shared" si="0"/>
        <v>3238.8373416</v>
      </c>
      <c r="C39" s="12">
        <f>0.70476*C9</f>
        <v>3238.8373416</v>
      </c>
      <c r="D39" s="12"/>
      <c r="E39" s="12"/>
      <c r="F39" s="12"/>
    </row>
    <row r="40" spans="1:6" ht="14.25" customHeight="1">
      <c r="A40" s="153" t="s">
        <v>20</v>
      </c>
      <c r="B40" s="154">
        <f t="shared" si="0"/>
        <v>0</v>
      </c>
      <c r="C40" s="12"/>
      <c r="D40" s="12"/>
      <c r="E40" s="12"/>
      <c r="F40" s="12"/>
    </row>
    <row r="41" spans="1:6" ht="12.75">
      <c r="A41" s="156" t="s">
        <v>11</v>
      </c>
      <c r="B41" s="160">
        <f t="shared" si="0"/>
        <v>5652.70316094</v>
      </c>
      <c r="C41" s="157">
        <f>C36+C37+C38+C39+C40</f>
        <v>5652.70316094</v>
      </c>
      <c r="D41" s="157">
        <f>D36+D37+D38+D39+D40</f>
        <v>0</v>
      </c>
      <c r="E41" s="157">
        <f>SUM(E36:E40)</f>
        <v>0</v>
      </c>
      <c r="F41" s="12">
        <f>SUM(F36:F40)</f>
        <v>0</v>
      </c>
    </row>
    <row r="42" spans="1:6" ht="12.75">
      <c r="A42" s="153" t="s">
        <v>101</v>
      </c>
      <c r="B42" s="154">
        <f t="shared" si="0"/>
        <v>295.96050399999996</v>
      </c>
      <c r="C42" s="157">
        <f>0.0644*C9</f>
        <v>295.96050399999996</v>
      </c>
      <c r="D42" s="157"/>
      <c r="E42" s="12"/>
      <c r="F42" s="12"/>
    </row>
    <row r="43" spans="1:6" ht="23.25" customHeight="1">
      <c r="A43" s="161" t="s">
        <v>21</v>
      </c>
      <c r="B43" s="154">
        <f t="shared" si="0"/>
        <v>76663.05266694</v>
      </c>
      <c r="C43" s="157">
        <f>C24+C34+C41+C42</f>
        <v>76663.05266694</v>
      </c>
      <c r="D43" s="157">
        <f>D24+D34+D41+D42</f>
        <v>0</v>
      </c>
      <c r="E43" s="157">
        <f>E24+E34+E41</f>
        <v>0</v>
      </c>
      <c r="F43" s="157">
        <f>F24+F34+F41+F42</f>
        <v>0</v>
      </c>
    </row>
    <row r="44" spans="1:6" ht="26.25" customHeight="1">
      <c r="A44" s="161" t="s">
        <v>22</v>
      </c>
      <c r="B44" s="162">
        <f>B43/C9/3</f>
        <v>5.560539920050657</v>
      </c>
      <c r="C44" s="14">
        <f>C43/C9/3</f>
        <v>5.560539920050657</v>
      </c>
      <c r="D44" s="14">
        <f>D43/3/C9</f>
        <v>0</v>
      </c>
      <c r="E44" s="14">
        <f>E43/3/C9</f>
        <v>0</v>
      </c>
      <c r="F44" s="14">
        <f>F43/C9/3</f>
        <v>0</v>
      </c>
    </row>
    <row r="45" spans="1:6" ht="22.5" customHeight="1">
      <c r="A45" s="163" t="s">
        <v>34</v>
      </c>
      <c r="B45" s="164">
        <f>B12-B43</f>
        <v>-3790.242666940001</v>
      </c>
      <c r="C45" s="165">
        <f>C12-C43</f>
        <v>-12655.042666939997</v>
      </c>
      <c r="D45" s="165">
        <f>D12-12656</f>
        <v>-6685.26</v>
      </c>
      <c r="E45" s="165">
        <f>E12-6685</f>
        <v>-3790.94</v>
      </c>
      <c r="F45" s="165"/>
    </row>
    <row r="46" spans="1:6" ht="12.75">
      <c r="A46" s="29" t="s">
        <v>44</v>
      </c>
      <c r="B46" s="29"/>
      <c r="C46" s="29"/>
      <c r="D46" s="29"/>
      <c r="E46" s="29"/>
      <c r="F46" s="29"/>
    </row>
    <row r="47" spans="1:6" ht="12.75">
      <c r="A47" s="29" t="s">
        <v>45</v>
      </c>
      <c r="B47" s="29"/>
      <c r="C47" s="29"/>
      <c r="D47" s="29"/>
      <c r="E47" s="29"/>
      <c r="F47" s="29"/>
    </row>
    <row r="48" spans="1:6" ht="12.75">
      <c r="A48" s="29" t="s">
        <v>579</v>
      </c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1:6" ht="12.75">
      <c r="A51" s="29"/>
      <c r="B51" s="29"/>
      <c r="C51" s="29"/>
      <c r="D51" s="29"/>
      <c r="E51" s="29"/>
      <c r="F51" s="29"/>
    </row>
    <row r="52" spans="1:6" ht="12.75">
      <c r="A52" s="29"/>
      <c r="B52" s="29"/>
      <c r="C52" s="29"/>
      <c r="D52" s="29"/>
      <c r="E52" s="29"/>
      <c r="F52" s="29"/>
    </row>
    <row r="53" spans="1:6" ht="12.75">
      <c r="A53" s="29"/>
      <c r="B53" s="29"/>
      <c r="C53" s="29"/>
      <c r="D53" s="29"/>
      <c r="E53" s="29"/>
      <c r="F53" s="29"/>
    </row>
    <row r="54" spans="1:6" ht="12.75">
      <c r="A54" s="29"/>
      <c r="B54" s="29"/>
      <c r="C54" s="29"/>
      <c r="D54" s="29"/>
      <c r="E54" s="29"/>
      <c r="F54" s="29"/>
    </row>
    <row r="55" spans="1:6" ht="12.75">
      <c r="A55" s="29"/>
      <c r="B55" s="29"/>
      <c r="C55" s="29"/>
      <c r="D55" s="29"/>
      <c r="E55" s="29"/>
      <c r="F55" s="29"/>
    </row>
    <row r="56" spans="1:6" ht="12.75">
      <c r="A56" s="29"/>
      <c r="B56" s="29"/>
      <c r="C56" s="29"/>
      <c r="D56" s="29"/>
      <c r="E56" s="29"/>
      <c r="F56" s="29"/>
    </row>
    <row r="57" spans="1:6" ht="12.75">
      <c r="A57" s="29"/>
      <c r="B57" s="29"/>
      <c r="C57" s="29"/>
      <c r="D57" s="29"/>
      <c r="E57" s="29"/>
      <c r="F57" s="29"/>
    </row>
    <row r="58" spans="1:6" ht="39.75" customHeight="1">
      <c r="A58" s="29"/>
      <c r="B58" s="29"/>
      <c r="C58" s="29"/>
      <c r="D58" s="29"/>
      <c r="E58" s="29"/>
      <c r="F58" s="29"/>
    </row>
    <row r="59" spans="1:6" ht="12.75" hidden="1">
      <c r="A59" s="29"/>
      <c r="B59" s="29"/>
      <c r="C59" s="29"/>
      <c r="D59" s="29"/>
      <c r="E59" s="29"/>
      <c r="F59" s="29"/>
    </row>
    <row r="60" spans="1:6" ht="0.75" customHeight="1" hidden="1">
      <c r="A60" s="29"/>
      <c r="B60" s="29"/>
      <c r="C60" s="29"/>
      <c r="D60" s="29"/>
      <c r="E60" s="29"/>
      <c r="F60" s="29"/>
    </row>
    <row r="61" spans="1:6" ht="12.75" hidden="1">
      <c r="A61" s="29"/>
      <c r="B61" s="29"/>
      <c r="C61" s="29"/>
      <c r="D61" s="29"/>
      <c r="E61" s="29"/>
      <c r="F61" s="29"/>
    </row>
    <row r="62" spans="1:6" ht="12.75">
      <c r="A62" s="120" t="s">
        <v>35</v>
      </c>
      <c r="B62" s="120"/>
      <c r="C62" s="29"/>
      <c r="D62" s="29"/>
      <c r="E62" s="29"/>
      <c r="F62" s="29"/>
    </row>
    <row r="63" spans="1:6" ht="12.75">
      <c r="A63" s="29" t="s">
        <v>616</v>
      </c>
      <c r="B63" s="29"/>
      <c r="C63" s="29"/>
      <c r="D63" s="29"/>
      <c r="E63" s="29"/>
      <c r="F63" s="29"/>
    </row>
    <row r="64" spans="1:6" ht="12.75">
      <c r="A64" s="29" t="s">
        <v>584</v>
      </c>
      <c r="B64" s="29"/>
      <c r="C64" s="29"/>
      <c r="D64" s="29"/>
      <c r="E64" s="29" t="s">
        <v>340</v>
      </c>
      <c r="F64" s="29"/>
    </row>
    <row r="65" spans="1:6" ht="9.75" customHeight="1">
      <c r="A65" s="10" t="s">
        <v>1</v>
      </c>
      <c r="B65" s="10" t="s">
        <v>11</v>
      </c>
      <c r="C65" s="10" t="s">
        <v>86</v>
      </c>
      <c r="D65" s="10" t="s">
        <v>87</v>
      </c>
      <c r="E65" s="5" t="s">
        <v>120</v>
      </c>
      <c r="F65" s="10" t="s">
        <v>141</v>
      </c>
    </row>
    <row r="66" spans="1:6" ht="10.5" customHeight="1">
      <c r="A66" s="22" t="s">
        <v>6</v>
      </c>
      <c r="B66" s="22"/>
      <c r="C66" s="10"/>
      <c r="D66" s="5"/>
      <c r="E66" s="5"/>
      <c r="F66" s="5"/>
    </row>
    <row r="67" spans="1:6" ht="12" customHeight="1">
      <c r="A67" s="5" t="s">
        <v>2</v>
      </c>
      <c r="B67" s="5"/>
      <c r="C67" s="10">
        <v>9</v>
      </c>
      <c r="D67" s="5"/>
      <c r="E67" s="5"/>
      <c r="F67" s="5"/>
    </row>
    <row r="68" spans="1:6" ht="10.5" customHeight="1">
      <c r="A68" s="5" t="s">
        <v>3</v>
      </c>
      <c r="B68" s="5"/>
      <c r="C68" s="10">
        <v>2</v>
      </c>
      <c r="D68" s="5"/>
      <c r="E68" s="5"/>
      <c r="F68" s="5"/>
    </row>
    <row r="69" spans="1:6" ht="8.25" customHeight="1">
      <c r="A69" s="5" t="s">
        <v>4</v>
      </c>
      <c r="B69" s="5"/>
      <c r="C69" s="10">
        <v>114</v>
      </c>
      <c r="D69" s="5"/>
      <c r="E69" s="5"/>
      <c r="F69" s="5"/>
    </row>
    <row r="70" spans="1:6" ht="12.75">
      <c r="A70" s="5" t="s">
        <v>5</v>
      </c>
      <c r="B70" s="5"/>
      <c r="C70" s="10">
        <v>2974.92</v>
      </c>
      <c r="D70" s="10">
        <v>2974.92</v>
      </c>
      <c r="E70" s="5"/>
      <c r="F70" s="5"/>
    </row>
    <row r="71" spans="1:6" ht="24">
      <c r="A71" s="150" t="s">
        <v>7</v>
      </c>
      <c r="B71" s="150"/>
      <c r="C71" s="5" t="s">
        <v>36</v>
      </c>
      <c r="D71" s="5"/>
      <c r="E71" s="5"/>
      <c r="F71" s="5"/>
    </row>
    <row r="72" spans="1:6" ht="23.25" customHeight="1">
      <c r="A72" s="151" t="s">
        <v>8</v>
      </c>
      <c r="B72" s="6">
        <f>C72+D72+E72+F72</f>
        <v>419903.73</v>
      </c>
      <c r="C72" s="10">
        <v>82867.52</v>
      </c>
      <c r="D72" s="5">
        <v>103033.88</v>
      </c>
      <c r="E72" s="5">
        <v>93273.11</v>
      </c>
      <c r="F72" s="5">
        <v>140729.22</v>
      </c>
    </row>
    <row r="73" spans="1:6" ht="12.75">
      <c r="A73" s="5" t="s">
        <v>11</v>
      </c>
      <c r="B73" s="6">
        <f>B72</f>
        <v>419903.73</v>
      </c>
      <c r="C73" s="6">
        <f>C72</f>
        <v>82867.52</v>
      </c>
      <c r="D73" s="6">
        <f>D72</f>
        <v>103033.88</v>
      </c>
      <c r="E73" s="6">
        <f>E72</f>
        <v>93273.11</v>
      </c>
      <c r="F73" s="6">
        <f>F72</f>
        <v>140729.22</v>
      </c>
    </row>
    <row r="74" spans="1:6" ht="24">
      <c r="A74" s="150" t="s">
        <v>12</v>
      </c>
      <c r="B74" s="150"/>
      <c r="C74" s="5"/>
      <c r="D74" s="5"/>
      <c r="E74" s="5"/>
      <c r="F74" s="5"/>
    </row>
    <row r="75" spans="1:7" ht="12.75">
      <c r="A75" s="156" t="s">
        <v>13</v>
      </c>
      <c r="B75" s="166">
        <f>C75+D75+E75+F75</f>
        <v>93938.95661748001</v>
      </c>
      <c r="C75" s="157">
        <f>7.5947*C70</f>
        <v>22593.624924</v>
      </c>
      <c r="D75" s="157">
        <f>7.632*C70</f>
        <v>22704.58944</v>
      </c>
      <c r="E75" s="157">
        <f>8.5526*C70</f>
        <v>25443.300792000002</v>
      </c>
      <c r="F75" s="157">
        <f>7.797669*D70</f>
        <v>23197.44146148</v>
      </c>
      <c r="G75" s="8"/>
    </row>
    <row r="76" spans="1:6" ht="13.5" customHeight="1">
      <c r="A76" s="156" t="s">
        <v>14</v>
      </c>
      <c r="B76" s="167">
        <f aca="true" t="shared" si="1" ref="B76:B113">C76+D76+E76+F76</f>
        <v>0</v>
      </c>
      <c r="C76" s="12"/>
      <c r="D76" s="12"/>
      <c r="E76" s="12"/>
      <c r="F76" s="12"/>
    </row>
    <row r="77" spans="1:6" ht="12.75">
      <c r="A77" s="153" t="s">
        <v>15</v>
      </c>
      <c r="B77" s="167">
        <f>B78+B80+B81+B82+B83+B84</f>
        <v>128420.05</v>
      </c>
      <c r="C77" s="167">
        <f>C78+C80+C81+C82+C83+C84</f>
        <v>27083.6</v>
      </c>
      <c r="D77" s="167">
        <f>D78+D80+D81+D82+D83+D84</f>
        <v>39565.05</v>
      </c>
      <c r="E77" s="167">
        <f>E78+E80+E81+E82+E83+E84</f>
        <v>34102.47</v>
      </c>
      <c r="F77" s="167">
        <f>F78+F80+F81+F82+F83+F84</f>
        <v>27668.93</v>
      </c>
    </row>
    <row r="78" spans="1:6" ht="12.75">
      <c r="A78" s="158" t="s">
        <v>16</v>
      </c>
      <c r="B78" s="167">
        <f t="shared" si="1"/>
        <v>111256</v>
      </c>
      <c r="C78" s="12">
        <v>26904</v>
      </c>
      <c r="D78" s="12">
        <v>25906</v>
      </c>
      <c r="E78" s="12">
        <v>31870</v>
      </c>
      <c r="F78" s="12">
        <f>26576</f>
        <v>26576</v>
      </c>
    </row>
    <row r="79" spans="1:6" ht="12.75">
      <c r="A79" s="153" t="s">
        <v>33</v>
      </c>
      <c r="B79" s="167">
        <f t="shared" si="1"/>
        <v>78954.83</v>
      </c>
      <c r="C79" s="12">
        <v>17135.78</v>
      </c>
      <c r="D79" s="12">
        <v>18623.05</v>
      </c>
      <c r="E79" s="12">
        <v>21598</v>
      </c>
      <c r="F79" s="12">
        <v>21598</v>
      </c>
    </row>
    <row r="80" spans="1:6" ht="12.75">
      <c r="A80" s="153" t="s">
        <v>24</v>
      </c>
      <c r="B80" s="167">
        <f t="shared" si="1"/>
        <v>1763.5499999999997</v>
      </c>
      <c r="C80" s="12">
        <v>179.6</v>
      </c>
      <c r="D80" s="12">
        <v>432.05</v>
      </c>
      <c r="E80" s="12">
        <v>563.97</v>
      </c>
      <c r="F80" s="12">
        <v>587.93</v>
      </c>
    </row>
    <row r="81" spans="1:6" ht="12.75">
      <c r="A81" s="153" t="s">
        <v>65</v>
      </c>
      <c r="B81" s="167">
        <f t="shared" si="1"/>
        <v>262.5</v>
      </c>
      <c r="C81" s="12"/>
      <c r="D81" s="12"/>
      <c r="E81" s="12">
        <v>262.5</v>
      </c>
      <c r="F81" s="12"/>
    </row>
    <row r="82" spans="1:6" ht="22.5">
      <c r="A82" s="153" t="s">
        <v>451</v>
      </c>
      <c r="B82" s="167">
        <f t="shared" si="1"/>
        <v>2848</v>
      </c>
      <c r="C82" s="12"/>
      <c r="D82" s="12">
        <v>937</v>
      </c>
      <c r="E82" s="12">
        <v>1406</v>
      </c>
      <c r="F82" s="12">
        <v>505</v>
      </c>
    </row>
    <row r="83" spans="1:6" ht="12.75">
      <c r="A83" s="153" t="s">
        <v>251</v>
      </c>
      <c r="B83" s="167">
        <f t="shared" si="1"/>
        <v>3420</v>
      </c>
      <c r="C83" s="12"/>
      <c r="D83" s="12">
        <v>3420</v>
      </c>
      <c r="E83" s="12"/>
      <c r="F83" s="12"/>
    </row>
    <row r="84" spans="1:6" ht="12.75">
      <c r="A84" s="153" t="s">
        <v>252</v>
      </c>
      <c r="B84" s="167">
        <f t="shared" si="1"/>
        <v>8870</v>
      </c>
      <c r="C84" s="12"/>
      <c r="D84" s="12">
        <v>8870</v>
      </c>
      <c r="E84" s="12"/>
      <c r="F84" s="12"/>
    </row>
    <row r="85" spans="1:6" ht="12.75">
      <c r="A85" s="155" t="s">
        <v>11</v>
      </c>
      <c r="B85" s="166">
        <f t="shared" si="1"/>
        <v>222359.00661748002</v>
      </c>
      <c r="C85" s="157">
        <f>C75+C77</f>
        <v>49677.224923999995</v>
      </c>
      <c r="D85" s="157">
        <f>D75+D77</f>
        <v>62269.63944</v>
      </c>
      <c r="E85" s="157">
        <f>E75+E77</f>
        <v>59545.770792</v>
      </c>
      <c r="F85" s="157">
        <f>F75+F77</f>
        <v>50866.37146148</v>
      </c>
    </row>
    <row r="86" spans="1:6" ht="18.75" customHeight="1">
      <c r="A86" s="159" t="s">
        <v>18</v>
      </c>
      <c r="B86" s="166">
        <f t="shared" si="1"/>
        <v>0</v>
      </c>
      <c r="C86" s="12"/>
      <c r="D86" s="12"/>
      <c r="E86" s="12"/>
      <c r="F86" s="12"/>
    </row>
    <row r="87" spans="1:6" ht="12.75">
      <c r="A87" s="153" t="s">
        <v>23</v>
      </c>
      <c r="B87" s="167">
        <f t="shared" si="1"/>
        <v>72953.070684</v>
      </c>
      <c r="C87" s="12">
        <f>5.3352*C70</f>
        <v>15871.793184000002</v>
      </c>
      <c r="D87" s="12">
        <f>6.1735*C70</f>
        <v>18365.66862</v>
      </c>
      <c r="E87" s="12">
        <f>6.4099*C70</f>
        <v>19068.939708</v>
      </c>
      <c r="F87" s="12">
        <f>6.6041*D70</f>
        <v>19646.669172</v>
      </c>
    </row>
    <row r="88" spans="1:6" ht="12.75">
      <c r="A88" s="153" t="s">
        <v>452</v>
      </c>
      <c r="B88" s="167">
        <f t="shared" si="1"/>
        <v>5502</v>
      </c>
      <c r="C88" s="12"/>
      <c r="D88" s="12"/>
      <c r="E88" s="12"/>
      <c r="F88" s="12">
        <v>5502</v>
      </c>
    </row>
    <row r="89" spans="1:6" ht="12.75">
      <c r="A89" s="153" t="s">
        <v>30</v>
      </c>
      <c r="B89" s="167">
        <f t="shared" si="1"/>
        <v>60870.81</v>
      </c>
      <c r="C89" s="12">
        <v>6853.81</v>
      </c>
      <c r="D89" s="12">
        <v>3659</v>
      </c>
      <c r="E89" s="12">
        <v>29402</v>
      </c>
      <c r="F89" s="12">
        <v>20956</v>
      </c>
    </row>
    <row r="90" spans="1:6" ht="12.75">
      <c r="A90" s="153" t="s">
        <v>28</v>
      </c>
      <c r="B90" s="167">
        <f t="shared" si="1"/>
        <v>5050</v>
      </c>
      <c r="C90" s="12"/>
      <c r="D90" s="12"/>
      <c r="E90" s="12">
        <v>5050</v>
      </c>
      <c r="F90" s="12"/>
    </row>
    <row r="91" spans="1:6" ht="12.75">
      <c r="A91" s="153" t="s">
        <v>41</v>
      </c>
      <c r="B91" s="167">
        <f t="shared" si="1"/>
        <v>2092</v>
      </c>
      <c r="C91" s="12"/>
      <c r="D91" s="12"/>
      <c r="E91" s="12">
        <v>2092</v>
      </c>
      <c r="F91" s="12"/>
    </row>
    <row r="92" spans="1:6" ht="12.75">
      <c r="A92" s="153" t="s">
        <v>50</v>
      </c>
      <c r="B92" s="167">
        <f t="shared" si="1"/>
        <v>6613</v>
      </c>
      <c r="C92" s="12">
        <v>867</v>
      </c>
      <c r="D92" s="12"/>
      <c r="E92" s="12">
        <v>532</v>
      </c>
      <c r="F92" s="12">
        <v>5214</v>
      </c>
    </row>
    <row r="93" spans="1:6" ht="12.75">
      <c r="A93" s="153" t="s">
        <v>91</v>
      </c>
      <c r="B93" s="167">
        <f t="shared" si="1"/>
        <v>14197</v>
      </c>
      <c r="C93" s="12">
        <v>5747</v>
      </c>
      <c r="D93" s="12"/>
      <c r="E93" s="12">
        <v>3466</v>
      </c>
      <c r="F93" s="12">
        <v>4984</v>
      </c>
    </row>
    <row r="94" spans="1:6" ht="12.75">
      <c r="A94" s="153" t="s">
        <v>227</v>
      </c>
      <c r="B94" s="167">
        <f t="shared" si="1"/>
        <v>11607.2</v>
      </c>
      <c r="C94" s="12">
        <v>11607.2</v>
      </c>
      <c r="D94" s="12"/>
      <c r="E94" s="12"/>
      <c r="F94" s="12"/>
    </row>
    <row r="95" spans="1:6" ht="12.75">
      <c r="A95" s="153" t="s">
        <v>27</v>
      </c>
      <c r="B95" s="167">
        <f t="shared" si="1"/>
        <v>142.5</v>
      </c>
      <c r="C95" s="12"/>
      <c r="D95" s="10"/>
      <c r="E95" s="12">
        <v>142.5</v>
      </c>
      <c r="F95" s="12"/>
    </row>
    <row r="96" spans="1:6" ht="12.75">
      <c r="A96" s="153" t="s">
        <v>349</v>
      </c>
      <c r="B96" s="167">
        <f t="shared" si="1"/>
        <v>1700</v>
      </c>
      <c r="C96" s="12"/>
      <c r="D96" s="12"/>
      <c r="E96" s="12">
        <v>1700</v>
      </c>
      <c r="F96" s="12"/>
    </row>
    <row r="97" spans="1:6" ht="12.75">
      <c r="A97" s="153" t="s">
        <v>350</v>
      </c>
      <c r="B97" s="167">
        <f t="shared" si="1"/>
        <v>5100</v>
      </c>
      <c r="C97" s="12"/>
      <c r="D97" s="5"/>
      <c r="E97" s="12">
        <v>5100</v>
      </c>
      <c r="F97" s="12"/>
    </row>
    <row r="98" spans="1:6" ht="12.75">
      <c r="A98" s="153" t="s">
        <v>47</v>
      </c>
      <c r="B98" s="167">
        <f t="shared" si="1"/>
        <v>2025</v>
      </c>
      <c r="C98" s="12">
        <v>240</v>
      </c>
      <c r="D98" s="12">
        <v>580</v>
      </c>
      <c r="E98" s="12">
        <v>305</v>
      </c>
      <c r="F98" s="12">
        <v>900</v>
      </c>
    </row>
    <row r="99" spans="1:6" ht="22.5">
      <c r="A99" s="153" t="s">
        <v>225</v>
      </c>
      <c r="B99" s="167">
        <f t="shared" si="1"/>
        <v>430.68</v>
      </c>
      <c r="C99" s="12">
        <v>430.68</v>
      </c>
      <c r="D99" s="12"/>
      <c r="E99" s="12"/>
      <c r="F99" s="12"/>
    </row>
    <row r="100" spans="1:6" ht="12.75">
      <c r="A100" s="153" t="s">
        <v>250</v>
      </c>
      <c r="B100" s="167">
        <f t="shared" si="1"/>
        <v>5803.6</v>
      </c>
      <c r="C100" s="12"/>
      <c r="D100" s="12">
        <v>5803.6</v>
      </c>
      <c r="E100" s="12"/>
      <c r="F100" s="12"/>
    </row>
    <row r="101" spans="1:6" ht="12.75">
      <c r="A101" s="153" t="s">
        <v>119</v>
      </c>
      <c r="B101" s="167">
        <f t="shared" si="1"/>
        <v>630</v>
      </c>
      <c r="C101" s="12"/>
      <c r="D101" s="12"/>
      <c r="E101" s="12">
        <v>630</v>
      </c>
      <c r="F101" s="12"/>
    </row>
    <row r="102" spans="1:6" ht="11.25" customHeight="1">
      <c r="A102" s="153" t="s">
        <v>226</v>
      </c>
      <c r="B102" s="167">
        <f t="shared" si="1"/>
        <v>13500</v>
      </c>
      <c r="C102" s="12">
        <v>13500</v>
      </c>
      <c r="D102" s="12"/>
      <c r="E102" s="12"/>
      <c r="F102" s="12"/>
    </row>
    <row r="103" spans="1:6" ht="12.75">
      <c r="A103" s="153" t="s">
        <v>453</v>
      </c>
      <c r="B103" s="167">
        <f t="shared" si="1"/>
        <v>748</v>
      </c>
      <c r="C103" s="12"/>
      <c r="D103" s="12"/>
      <c r="E103" s="12"/>
      <c r="F103" s="12">
        <v>748</v>
      </c>
    </row>
    <row r="104" spans="1:6" ht="12.75">
      <c r="A104" s="155" t="s">
        <v>11</v>
      </c>
      <c r="B104" s="166">
        <f>SUM(B87:B103)</f>
        <v>208964.860684</v>
      </c>
      <c r="C104" s="166">
        <f>SUM(C87:C103)</f>
        <v>55117.483184000004</v>
      </c>
      <c r="D104" s="166">
        <f>SUM(D87:D103)</f>
        <v>28408.268620000003</v>
      </c>
      <c r="E104" s="166">
        <f>SUM(E87:E103)</f>
        <v>67488.439708</v>
      </c>
      <c r="F104" s="166">
        <f>SUM(F87:F103)</f>
        <v>57950.669172</v>
      </c>
    </row>
    <row r="105" spans="1:6" ht="12.75">
      <c r="A105" s="155" t="s">
        <v>19</v>
      </c>
      <c r="B105" s="167">
        <f t="shared" si="1"/>
        <v>0</v>
      </c>
      <c r="C105" s="12"/>
      <c r="D105" s="12"/>
      <c r="E105" s="12"/>
      <c r="F105" s="12"/>
    </row>
    <row r="106" spans="1:6" ht="12.75">
      <c r="A106" s="153" t="s">
        <v>38</v>
      </c>
      <c r="B106" s="167">
        <f t="shared" si="1"/>
        <v>2500.81294944</v>
      </c>
      <c r="C106" s="12">
        <f>0.218666*C70</f>
        <v>650.51385672</v>
      </c>
      <c r="D106" s="12">
        <f>0.210458*C70</f>
        <v>626.09571336</v>
      </c>
      <c r="E106" s="12">
        <f>0.16724*C70</f>
        <v>497.5256208</v>
      </c>
      <c r="F106" s="12">
        <f>0.244268*D70</f>
        <v>726.67775856</v>
      </c>
    </row>
    <row r="107" spans="1:6" ht="12.75">
      <c r="A107" s="153" t="s">
        <v>39</v>
      </c>
      <c r="B107" s="167">
        <f t="shared" si="1"/>
        <v>4958.9357968799995</v>
      </c>
      <c r="C107" s="12">
        <f>0.306583*C70</f>
        <v>912.05989836</v>
      </c>
      <c r="D107" s="12">
        <f>0.0733554*C70</f>
        <v>218.226446568</v>
      </c>
      <c r="E107" s="12">
        <f>0.53606*C70</f>
        <v>1594.7356152</v>
      </c>
      <c r="F107" s="12">
        <f>0.7509156*D70</f>
        <v>2233.913836752</v>
      </c>
    </row>
    <row r="108" spans="1:6" ht="12.75">
      <c r="A108" s="153" t="s">
        <v>32</v>
      </c>
      <c r="B108" s="167">
        <f t="shared" si="1"/>
        <v>0</v>
      </c>
      <c r="C108" s="12"/>
      <c r="D108" s="12"/>
      <c r="E108" s="12"/>
      <c r="F108" s="12"/>
    </row>
    <row r="109" spans="1:6" ht="12.75">
      <c r="A109" s="153" t="s">
        <v>37</v>
      </c>
      <c r="B109" s="167">
        <f t="shared" si="1"/>
        <v>6406.638371016001</v>
      </c>
      <c r="C109" s="12">
        <f>0.70476*C70</f>
        <v>2096.6046192000003</v>
      </c>
      <c r="D109" s="12">
        <f>0.3731258*C70</f>
        <v>1110.019404936</v>
      </c>
      <c r="E109" s="12">
        <f>0.5532*C70</f>
        <v>1645.725744</v>
      </c>
      <c r="F109" s="12">
        <f>0.522464*D70</f>
        <v>1554.28860288</v>
      </c>
    </row>
    <row r="110" spans="1:6" ht="12.75">
      <c r="A110" s="153" t="s">
        <v>20</v>
      </c>
      <c r="B110" s="167">
        <f t="shared" si="1"/>
        <v>2369.01209376</v>
      </c>
      <c r="C110" s="12"/>
      <c r="D110" s="12">
        <f>0.158142*C70</f>
        <v>470.45979864000003</v>
      </c>
      <c r="E110" s="12">
        <f>0.60489*C70</f>
        <v>1799.4993588000002</v>
      </c>
      <c r="F110" s="12">
        <f>0.033296*D70</f>
        <v>99.05293632</v>
      </c>
    </row>
    <row r="111" spans="1:6" ht="12.75">
      <c r="A111" s="156" t="s">
        <v>11</v>
      </c>
      <c r="B111" s="166">
        <f t="shared" si="1"/>
        <v>16235.399211096</v>
      </c>
      <c r="C111" s="157">
        <f>C106+C107+C108+C109+C110</f>
        <v>3659.1783742800003</v>
      </c>
      <c r="D111" s="157">
        <f>SUM(D106:D110)</f>
        <v>2424.801363504</v>
      </c>
      <c r="E111" s="157">
        <f>SUM(E106:E110)</f>
        <v>5537.486338799999</v>
      </c>
      <c r="F111" s="157">
        <f>SUM(F106:F110)</f>
        <v>4613.933134512001</v>
      </c>
    </row>
    <row r="112" spans="1:6" ht="12.75">
      <c r="A112" s="153" t="s">
        <v>101</v>
      </c>
      <c r="B112" s="166">
        <f t="shared" si="1"/>
        <v>1941.3227199599999</v>
      </c>
      <c r="C112" s="157">
        <f>0.0644*C70</f>
        <v>191.584848</v>
      </c>
      <c r="D112" s="12">
        <f>0.055427*C70</f>
        <v>164.89089084</v>
      </c>
      <c r="E112" s="12">
        <f>0.10264*C70</f>
        <v>305.3457888</v>
      </c>
      <c r="F112" s="12">
        <f>0.430096*D70</f>
        <v>1279.50119232</v>
      </c>
    </row>
    <row r="113" spans="1:6" ht="33.75">
      <c r="A113" s="161" t="s">
        <v>21</v>
      </c>
      <c r="B113" s="166">
        <f t="shared" si="1"/>
        <v>449500.58923253603</v>
      </c>
      <c r="C113" s="157">
        <f>C85+C104+C111+C112</f>
        <v>108645.47133028</v>
      </c>
      <c r="D113" s="157">
        <f>D85+D104+D111+D112</f>
        <v>93267.600314344</v>
      </c>
      <c r="E113" s="157">
        <f>E85+E104+E111+E112</f>
        <v>132877.04262760002</v>
      </c>
      <c r="F113" s="157">
        <f>F85+F104+F111+F112</f>
        <v>114710.47496031201</v>
      </c>
    </row>
    <row r="114" spans="1:6" ht="36" customHeight="1">
      <c r="A114" s="161" t="s">
        <v>22</v>
      </c>
      <c r="B114" s="168">
        <f>B113/12/C70</f>
        <v>12.59139151171953</v>
      </c>
      <c r="C114" s="14">
        <f>C113/C70/3</f>
        <v>12.17348940814991</v>
      </c>
      <c r="D114" s="14">
        <f>D113/3/C70</f>
        <v>10.450432315753478</v>
      </c>
      <c r="E114" s="14">
        <f>E113/3/C70</f>
        <v>14.88858441320551</v>
      </c>
      <c r="F114" s="13">
        <f>F113/3/D70</f>
        <v>12.853059909769227</v>
      </c>
    </row>
    <row r="115" spans="1:6" ht="12.75">
      <c r="A115" s="163" t="s">
        <v>34</v>
      </c>
      <c r="B115" s="164">
        <f>B73-B113</f>
        <v>-29596.85923253605</v>
      </c>
      <c r="C115" s="165">
        <f>C73-C113</f>
        <v>-25777.95133027999</v>
      </c>
      <c r="D115" s="165">
        <f>D73-D113-25795</f>
        <v>-16028.720314343998</v>
      </c>
      <c r="E115" s="165">
        <f>E73-E113-16029</f>
        <v>-55632.93262760002</v>
      </c>
      <c r="F115" s="165">
        <f>F73-F113-55633</f>
        <v>-29614.254960312013</v>
      </c>
    </row>
    <row r="116" spans="1:6" ht="12.75">
      <c r="A116" s="29" t="s">
        <v>44</v>
      </c>
      <c r="B116" s="29"/>
      <c r="C116" s="29"/>
      <c r="D116" s="29"/>
      <c r="E116" s="29"/>
      <c r="F116" s="29"/>
    </row>
    <row r="117" spans="1:6" ht="12.75">
      <c r="A117" s="29" t="s">
        <v>45</v>
      </c>
      <c r="B117" s="29"/>
      <c r="C117" s="29"/>
      <c r="D117" s="29"/>
      <c r="E117" s="29"/>
      <c r="F117" s="29"/>
    </row>
    <row r="118" spans="1:6" ht="24.75" customHeight="1">
      <c r="A118" s="29" t="s">
        <v>579</v>
      </c>
      <c r="B118" s="29"/>
      <c r="C118" s="29"/>
      <c r="D118" s="29"/>
      <c r="E118" s="29"/>
      <c r="F118" s="29"/>
    </row>
    <row r="119" spans="1:6" ht="2.25" customHeight="1">
      <c r="A119" s="29"/>
      <c r="B119" s="29"/>
      <c r="C119" s="29"/>
      <c r="D119" s="29"/>
      <c r="E119" s="29"/>
      <c r="F119" s="29"/>
    </row>
    <row r="120" spans="1:6" ht="12.75" hidden="1">
      <c r="A120" s="29"/>
      <c r="B120" s="29"/>
      <c r="C120" s="29"/>
      <c r="D120" s="29"/>
      <c r="E120" s="29"/>
      <c r="F120" s="29"/>
    </row>
    <row r="121" spans="1:6" ht="12.75" hidden="1">
      <c r="A121" s="29"/>
      <c r="B121" s="29"/>
      <c r="C121" s="29"/>
      <c r="D121" s="29"/>
      <c r="E121" s="29"/>
      <c r="F121" s="29"/>
    </row>
    <row r="122" spans="1:6" ht="12.75" hidden="1">
      <c r="A122" s="29"/>
      <c r="B122" s="29"/>
      <c r="C122" s="29"/>
      <c r="D122" s="29"/>
      <c r="E122" s="29"/>
      <c r="F122" s="29"/>
    </row>
    <row r="123" spans="1:6" ht="12.75" hidden="1">
      <c r="A123" s="29"/>
      <c r="B123" s="29"/>
      <c r="C123" s="29"/>
      <c r="D123" s="29"/>
      <c r="E123" s="29"/>
      <c r="F123" s="29"/>
    </row>
    <row r="124" spans="1:6" ht="12.75">
      <c r="A124" s="120" t="s">
        <v>35</v>
      </c>
      <c r="B124" s="120"/>
      <c r="C124" s="29"/>
      <c r="D124" s="29"/>
      <c r="E124" s="29"/>
      <c r="F124" s="29"/>
    </row>
    <row r="125" spans="1:6" ht="12.75">
      <c r="A125" s="29" t="s">
        <v>616</v>
      </c>
      <c r="B125" s="29"/>
      <c r="C125" s="29"/>
      <c r="D125" s="29"/>
      <c r="E125" s="29"/>
      <c r="F125" s="29"/>
    </row>
    <row r="126" spans="1:6" ht="12.75">
      <c r="A126" s="29" t="s">
        <v>585</v>
      </c>
      <c r="B126" s="29"/>
      <c r="C126" s="29"/>
      <c r="D126" s="29"/>
      <c r="E126" s="29" t="s">
        <v>340</v>
      </c>
      <c r="F126" s="29"/>
    </row>
    <row r="127" spans="1:6" ht="9.75" customHeight="1">
      <c r="A127" s="10" t="s">
        <v>1</v>
      </c>
      <c r="B127" s="10" t="s">
        <v>11</v>
      </c>
      <c r="C127" s="10" t="s">
        <v>90</v>
      </c>
      <c r="D127" s="10" t="s">
        <v>87</v>
      </c>
      <c r="E127" s="10" t="s">
        <v>120</v>
      </c>
      <c r="F127" s="10" t="s">
        <v>141</v>
      </c>
    </row>
    <row r="128" spans="1:6" ht="9" customHeight="1">
      <c r="A128" s="22" t="s">
        <v>6</v>
      </c>
      <c r="B128" s="22"/>
      <c r="C128" s="10"/>
      <c r="D128" s="5"/>
      <c r="E128" s="5"/>
      <c r="F128" s="5"/>
    </row>
    <row r="129" spans="1:6" ht="9.75" customHeight="1">
      <c r="A129" s="5" t="s">
        <v>2</v>
      </c>
      <c r="B129" s="5"/>
      <c r="C129" s="10">
        <v>9</v>
      </c>
      <c r="D129" s="5"/>
      <c r="E129" s="5"/>
      <c r="F129" s="5"/>
    </row>
    <row r="130" spans="1:6" ht="10.5" customHeight="1">
      <c r="A130" s="5" t="s">
        <v>3</v>
      </c>
      <c r="B130" s="5"/>
      <c r="C130" s="10">
        <v>4</v>
      </c>
      <c r="D130" s="5"/>
      <c r="E130" s="5"/>
      <c r="F130" s="5"/>
    </row>
    <row r="131" spans="1:6" ht="10.5" customHeight="1">
      <c r="A131" s="5" t="s">
        <v>4</v>
      </c>
      <c r="B131" s="5"/>
      <c r="C131" s="10">
        <v>109</v>
      </c>
      <c r="D131" s="5"/>
      <c r="E131" s="5"/>
      <c r="F131" s="5"/>
    </row>
    <row r="132" spans="1:6" ht="10.5" customHeight="1">
      <c r="A132" s="5" t="s">
        <v>5</v>
      </c>
      <c r="B132" s="5">
        <v>7057.96</v>
      </c>
      <c r="C132" s="10">
        <v>7057.96</v>
      </c>
      <c r="D132" s="10">
        <v>7057.96</v>
      </c>
      <c r="E132" s="5">
        <v>7057.96</v>
      </c>
      <c r="F132" s="5">
        <v>7057.96</v>
      </c>
    </row>
    <row r="133" spans="1:6" ht="24">
      <c r="A133" s="150" t="s">
        <v>7</v>
      </c>
      <c r="B133" s="150"/>
      <c r="C133" s="5" t="s">
        <v>36</v>
      </c>
      <c r="D133" s="5"/>
      <c r="E133" s="5"/>
      <c r="F133" s="5"/>
    </row>
    <row r="134" spans="1:6" ht="20.25" customHeight="1">
      <c r="A134" s="151" t="s">
        <v>8</v>
      </c>
      <c r="B134" s="6">
        <f>C134+D134+E134+F134</f>
        <v>918024.1699999999</v>
      </c>
      <c r="C134" s="10">
        <v>211764.94</v>
      </c>
      <c r="D134" s="10">
        <v>216295.68</v>
      </c>
      <c r="E134" s="5">
        <v>255636.81</v>
      </c>
      <c r="F134" s="5">
        <v>234326.74</v>
      </c>
    </row>
    <row r="135" spans="1:6" ht="10.5" customHeight="1">
      <c r="A135" s="5" t="s">
        <v>11</v>
      </c>
      <c r="B135" s="150">
        <f>B134</f>
        <v>918024.1699999999</v>
      </c>
      <c r="C135" s="150">
        <f>C134</f>
        <v>211764.94</v>
      </c>
      <c r="D135" s="150">
        <f>D134</f>
        <v>216295.68</v>
      </c>
      <c r="E135" s="150">
        <f>E134</f>
        <v>255636.81</v>
      </c>
      <c r="F135" s="150">
        <f>F134</f>
        <v>234326.74</v>
      </c>
    </row>
    <row r="136" spans="1:6" ht="24">
      <c r="A136" s="150" t="s">
        <v>12</v>
      </c>
      <c r="B136" s="150"/>
      <c r="C136" s="5"/>
      <c r="D136" s="5"/>
      <c r="E136" s="5"/>
      <c r="F136" s="5"/>
    </row>
    <row r="137" spans="1:7" ht="12.75">
      <c r="A137" s="156" t="s">
        <v>13</v>
      </c>
      <c r="B137" s="166">
        <f>C137+D137+E137+F137</f>
        <v>222868.98412324</v>
      </c>
      <c r="C137" s="157">
        <f>7.5947*C132</f>
        <v>53603.088811999995</v>
      </c>
      <c r="D137" s="157">
        <f>7.632*C132</f>
        <v>53866.350719999995</v>
      </c>
      <c r="E137" s="157">
        <f>8.5526*E132</f>
        <v>60363.908696</v>
      </c>
      <c r="F137" s="157">
        <f>7.797669*F132</f>
        <v>55035.63589524</v>
      </c>
      <c r="G137" s="8"/>
    </row>
    <row r="138" spans="1:6" ht="12.75" customHeight="1">
      <c r="A138" s="156" t="s">
        <v>14</v>
      </c>
      <c r="B138" s="167">
        <f aca="true" t="shared" si="2" ref="B138:B179">C138+D138+E138+F138</f>
        <v>0</v>
      </c>
      <c r="C138" s="12"/>
      <c r="D138" s="12"/>
      <c r="E138" s="12"/>
      <c r="F138" s="12"/>
    </row>
    <row r="139" spans="1:6" ht="12.75">
      <c r="A139" s="153" t="s">
        <v>15</v>
      </c>
      <c r="B139" s="167">
        <f>B140+B142+B143+B144+B145+B146</f>
        <v>235374.06</v>
      </c>
      <c r="C139" s="167">
        <f>C140+C142+C143+C144+C145+C146</f>
        <v>52080.37</v>
      </c>
      <c r="D139" s="167">
        <f>D140+D142+D143+D144+D145+D146</f>
        <v>62243.9</v>
      </c>
      <c r="E139" s="167">
        <f>E140+E142+E143+E144+E145+E146</f>
        <v>64730.84</v>
      </c>
      <c r="F139" s="167">
        <f>F140+F142+F143+F144+F145+F146</f>
        <v>56318.95</v>
      </c>
    </row>
    <row r="140" spans="1:6" ht="12.75">
      <c r="A140" s="158" t="s">
        <v>16</v>
      </c>
      <c r="B140" s="167">
        <f t="shared" si="2"/>
        <v>214268</v>
      </c>
      <c r="C140" s="12">
        <v>51675</v>
      </c>
      <c r="D140" s="12">
        <v>48301</v>
      </c>
      <c r="E140" s="12">
        <v>60437</v>
      </c>
      <c r="F140" s="12">
        <v>53855</v>
      </c>
    </row>
    <row r="141" spans="1:6" ht="12.75">
      <c r="A141" s="153" t="s">
        <v>33</v>
      </c>
      <c r="B141" s="167">
        <f t="shared" si="2"/>
        <v>131656.21</v>
      </c>
      <c r="C141" s="12">
        <v>28501.35</v>
      </c>
      <c r="D141" s="12">
        <v>31022.86</v>
      </c>
      <c r="E141" s="12">
        <v>36066</v>
      </c>
      <c r="F141" s="12">
        <v>36066</v>
      </c>
    </row>
    <row r="142" spans="1:6" ht="12.75">
      <c r="A142" s="153" t="s">
        <v>24</v>
      </c>
      <c r="B142" s="167">
        <f t="shared" si="2"/>
        <v>3663.0600000000004</v>
      </c>
      <c r="C142" s="12">
        <v>405.37</v>
      </c>
      <c r="D142" s="12">
        <v>972.4</v>
      </c>
      <c r="E142" s="12">
        <v>894.34</v>
      </c>
      <c r="F142" s="12">
        <v>1390.95</v>
      </c>
    </row>
    <row r="143" spans="1:6" ht="12.75">
      <c r="A143" s="153" t="s">
        <v>253</v>
      </c>
      <c r="B143" s="167">
        <f t="shared" si="2"/>
        <v>614</v>
      </c>
      <c r="C143" s="12"/>
      <c r="D143" s="12">
        <v>351.5</v>
      </c>
      <c r="E143" s="12">
        <v>262.5</v>
      </c>
      <c r="F143" s="12"/>
    </row>
    <row r="144" spans="1:6" ht="12.75">
      <c r="A144" s="153" t="s">
        <v>461</v>
      </c>
      <c r="B144" s="167">
        <f t="shared" si="2"/>
        <v>7559</v>
      </c>
      <c r="C144" s="12"/>
      <c r="D144" s="12">
        <v>3749</v>
      </c>
      <c r="E144" s="12">
        <v>3137</v>
      </c>
      <c r="F144" s="12">
        <v>673</v>
      </c>
    </row>
    <row r="145" spans="1:6" ht="12.75">
      <c r="A145" s="153" t="s">
        <v>252</v>
      </c>
      <c r="B145" s="167">
        <f t="shared" si="2"/>
        <v>8870</v>
      </c>
      <c r="C145" s="12"/>
      <c r="D145" s="12">
        <v>8870</v>
      </c>
      <c r="E145" s="12"/>
      <c r="F145" s="12"/>
    </row>
    <row r="146" spans="1:6" ht="12.75">
      <c r="A146" s="153" t="s">
        <v>454</v>
      </c>
      <c r="B146" s="167">
        <f t="shared" si="2"/>
        <v>400</v>
      </c>
      <c r="C146" s="12"/>
      <c r="D146" s="12"/>
      <c r="E146" s="12"/>
      <c r="F146" s="12">
        <v>400</v>
      </c>
    </row>
    <row r="147" spans="1:6" ht="12.75">
      <c r="A147" s="155" t="s">
        <v>11</v>
      </c>
      <c r="B147" s="166">
        <f t="shared" si="2"/>
        <v>458243.04412323993</v>
      </c>
      <c r="C147" s="157">
        <f>C137+C139</f>
        <v>105683.458812</v>
      </c>
      <c r="D147" s="157">
        <f>D137+D139</f>
        <v>116110.25072</v>
      </c>
      <c r="E147" s="157">
        <f>E137+E139</f>
        <v>125094.748696</v>
      </c>
      <c r="F147" s="157">
        <f>F137+F139</f>
        <v>111354.58589523999</v>
      </c>
    </row>
    <row r="148" spans="1:6" ht="18.75" customHeight="1">
      <c r="A148" s="159" t="s">
        <v>18</v>
      </c>
      <c r="B148" s="167">
        <f t="shared" si="2"/>
        <v>0</v>
      </c>
      <c r="C148" s="12"/>
      <c r="D148" s="157"/>
      <c r="E148" s="12"/>
      <c r="F148" s="12"/>
    </row>
    <row r="149" spans="1:6" ht="12.75">
      <c r="A149" s="153" t="s">
        <v>23</v>
      </c>
      <c r="B149" s="167">
        <f t="shared" si="2"/>
        <v>173080.23569200002</v>
      </c>
      <c r="C149" s="12">
        <f>5.3352*C132</f>
        <v>37655.628192000004</v>
      </c>
      <c r="D149" s="12">
        <f>6.1735*C132</f>
        <v>43572.31606</v>
      </c>
      <c r="E149" s="12">
        <f>6.4099*E132</f>
        <v>45240.817804000006</v>
      </c>
      <c r="F149" s="12">
        <f>6.6041*F132</f>
        <v>46611.473636</v>
      </c>
    </row>
    <row r="150" spans="1:6" ht="12.75">
      <c r="A150" s="153" t="s">
        <v>352</v>
      </c>
      <c r="B150" s="167">
        <f t="shared" si="2"/>
        <v>14077</v>
      </c>
      <c r="C150" s="12"/>
      <c r="D150" s="12">
        <v>8977</v>
      </c>
      <c r="E150" s="12">
        <v>5100</v>
      </c>
      <c r="F150" s="12"/>
    </row>
    <row r="151" spans="1:6" ht="12.75">
      <c r="A151" s="153" t="s">
        <v>455</v>
      </c>
      <c r="B151" s="167">
        <f t="shared" si="2"/>
        <v>4320</v>
      </c>
      <c r="C151" s="12"/>
      <c r="D151" s="10"/>
      <c r="E151" s="12"/>
      <c r="F151" s="12">
        <v>4320</v>
      </c>
    </row>
    <row r="152" spans="1:7" ht="12.75">
      <c r="A152" s="153" t="s">
        <v>353</v>
      </c>
      <c r="B152" s="167">
        <f>C152+D152+E152+F152</f>
        <v>72199.16</v>
      </c>
      <c r="C152" s="12">
        <v>22129.16</v>
      </c>
      <c r="D152" s="12">
        <v>9500</v>
      </c>
      <c r="E152" s="12">
        <v>20712</v>
      </c>
      <c r="F152" s="30">
        <v>19858</v>
      </c>
      <c r="G152" s="119"/>
    </row>
    <row r="153" spans="1:6" ht="12.75">
      <c r="A153" s="153" t="s">
        <v>28</v>
      </c>
      <c r="B153" s="167">
        <f t="shared" si="2"/>
        <v>19346.83</v>
      </c>
      <c r="C153" s="12">
        <v>1779</v>
      </c>
      <c r="D153" s="12"/>
      <c r="E153" s="12">
        <v>17001</v>
      </c>
      <c r="F153" s="12">
        <v>566.83</v>
      </c>
    </row>
    <row r="154" spans="1:6" ht="12.75">
      <c r="A154" s="153" t="s">
        <v>41</v>
      </c>
      <c r="B154" s="167">
        <f t="shared" si="2"/>
        <v>15805</v>
      </c>
      <c r="C154" s="12">
        <v>10339</v>
      </c>
      <c r="D154" s="12">
        <v>3622</v>
      </c>
      <c r="E154" s="12">
        <v>1844</v>
      </c>
      <c r="F154" s="12"/>
    </row>
    <row r="155" spans="1:6" ht="12.75">
      <c r="A155" s="153" t="s">
        <v>50</v>
      </c>
      <c r="B155" s="167">
        <f t="shared" si="2"/>
        <v>2927</v>
      </c>
      <c r="C155" s="12"/>
      <c r="D155" s="12"/>
      <c r="E155" s="12"/>
      <c r="F155" s="12">
        <v>2927</v>
      </c>
    </row>
    <row r="156" spans="1:6" ht="12.75">
      <c r="A156" s="153" t="s">
        <v>52</v>
      </c>
      <c r="B156" s="167">
        <f t="shared" si="2"/>
        <v>7661</v>
      </c>
      <c r="C156" s="12">
        <v>2784</v>
      </c>
      <c r="D156" s="12">
        <v>791</v>
      </c>
      <c r="E156" s="12">
        <v>1876</v>
      </c>
      <c r="F156" s="12">
        <v>2210</v>
      </c>
    </row>
    <row r="157" spans="1:6" ht="12.75">
      <c r="A157" s="153" t="s">
        <v>456</v>
      </c>
      <c r="B157" s="167">
        <f t="shared" si="2"/>
        <v>8614</v>
      </c>
      <c r="C157" s="12"/>
      <c r="D157" s="12"/>
      <c r="E157" s="12"/>
      <c r="F157" s="12">
        <v>8614</v>
      </c>
    </row>
    <row r="158" spans="1:6" ht="12.75">
      <c r="A158" s="153" t="s">
        <v>27</v>
      </c>
      <c r="B158" s="167">
        <f t="shared" si="2"/>
        <v>140</v>
      </c>
      <c r="C158" s="12"/>
      <c r="D158" s="12">
        <v>140</v>
      </c>
      <c r="E158" s="12"/>
      <c r="F158" s="12"/>
    </row>
    <row r="159" spans="1:6" ht="12.75">
      <c r="A159" s="153" t="s">
        <v>453</v>
      </c>
      <c r="B159" s="167">
        <f t="shared" si="2"/>
        <v>1774</v>
      </c>
      <c r="C159" s="12"/>
      <c r="D159" s="10"/>
      <c r="E159" s="12"/>
      <c r="F159" s="12">
        <v>1774</v>
      </c>
    </row>
    <row r="160" spans="1:6" ht="12.75">
      <c r="A160" s="153" t="s">
        <v>458</v>
      </c>
      <c r="B160" s="167">
        <f t="shared" si="2"/>
        <v>2173</v>
      </c>
      <c r="C160" s="12">
        <v>930</v>
      </c>
      <c r="D160" s="12">
        <v>560</v>
      </c>
      <c r="E160" s="12">
        <v>273</v>
      </c>
      <c r="F160" s="12">
        <v>410</v>
      </c>
    </row>
    <row r="161" spans="1:6" ht="12.75">
      <c r="A161" s="153" t="s">
        <v>254</v>
      </c>
      <c r="B161" s="167">
        <f t="shared" si="2"/>
        <v>13660</v>
      </c>
      <c r="C161" s="12"/>
      <c r="D161" s="10">
        <v>11500</v>
      </c>
      <c r="E161" s="12">
        <v>2055</v>
      </c>
      <c r="F161" s="12">
        <v>105</v>
      </c>
    </row>
    <row r="162" spans="1:6" ht="12.75">
      <c r="A162" s="153" t="s">
        <v>351</v>
      </c>
      <c r="B162" s="167">
        <f t="shared" si="2"/>
        <v>1900</v>
      </c>
      <c r="C162" s="12"/>
      <c r="D162" s="12"/>
      <c r="E162" s="12">
        <v>1900</v>
      </c>
      <c r="F162" s="12"/>
    </row>
    <row r="163" spans="1:6" ht="22.5">
      <c r="A163" s="153" t="s">
        <v>614</v>
      </c>
      <c r="B163" s="167">
        <f t="shared" si="2"/>
        <v>1010.4</v>
      </c>
      <c r="C163" s="12">
        <v>1010.4</v>
      </c>
      <c r="D163" s="12"/>
      <c r="E163" s="12"/>
      <c r="F163" s="12"/>
    </row>
    <row r="164" spans="1:6" ht="14.25" customHeight="1">
      <c r="A164" s="153" t="s">
        <v>615</v>
      </c>
      <c r="B164" s="167">
        <f t="shared" si="2"/>
        <v>37</v>
      </c>
      <c r="C164" s="12"/>
      <c r="D164" s="12"/>
      <c r="E164" s="12">
        <v>37</v>
      </c>
      <c r="F164" s="12"/>
    </row>
    <row r="165" spans="1:6" ht="12.75">
      <c r="A165" s="153" t="s">
        <v>92</v>
      </c>
      <c r="B165" s="167">
        <f t="shared" si="2"/>
        <v>10800</v>
      </c>
      <c r="C165" s="12"/>
      <c r="D165" s="12">
        <v>10800</v>
      </c>
      <c r="E165" s="12"/>
      <c r="F165" s="12"/>
    </row>
    <row r="166" spans="1:6" ht="12.75">
      <c r="A166" s="153" t="s">
        <v>354</v>
      </c>
      <c r="B166" s="167">
        <f t="shared" si="2"/>
        <v>2430</v>
      </c>
      <c r="C166" s="12"/>
      <c r="D166" s="12"/>
      <c r="E166" s="12">
        <v>2430</v>
      </c>
      <c r="F166" s="12"/>
    </row>
    <row r="167" spans="1:6" ht="12.75">
      <c r="A167" s="153" t="s">
        <v>460</v>
      </c>
      <c r="B167" s="167">
        <f t="shared" si="2"/>
        <v>999.8</v>
      </c>
      <c r="C167" s="12">
        <v>504</v>
      </c>
      <c r="D167" s="12"/>
      <c r="E167" s="12"/>
      <c r="F167" s="12">
        <v>495.8</v>
      </c>
    </row>
    <row r="168" spans="1:6" ht="22.5">
      <c r="A168" s="153" t="s">
        <v>617</v>
      </c>
      <c r="B168" s="167">
        <f t="shared" si="2"/>
        <v>20200</v>
      </c>
      <c r="C168" s="12"/>
      <c r="D168" s="12"/>
      <c r="E168" s="12"/>
      <c r="F168" s="12">
        <v>20200</v>
      </c>
    </row>
    <row r="169" spans="1:6" ht="12.75">
      <c r="A169" s="153" t="s">
        <v>459</v>
      </c>
      <c r="B169" s="167">
        <f t="shared" si="2"/>
        <v>264</v>
      </c>
      <c r="C169" s="12"/>
      <c r="D169" s="12"/>
      <c r="E169" s="12"/>
      <c r="F169" s="12">
        <v>264</v>
      </c>
    </row>
    <row r="170" spans="1:6" ht="12.75">
      <c r="A170" s="155" t="s">
        <v>11</v>
      </c>
      <c r="B170" s="166">
        <f>SUM(B149:B169)</f>
        <v>373418.4256920001</v>
      </c>
      <c r="C170" s="157">
        <f>SUM(C149:C167)</f>
        <v>77131.188192</v>
      </c>
      <c r="D170" s="157">
        <f>SUM(D149:D167)</f>
        <v>89462.31606</v>
      </c>
      <c r="E170" s="157">
        <f>SUM(E149:E167)</f>
        <v>98468.817804</v>
      </c>
      <c r="F170" s="157">
        <f>SUM(F149:F169)</f>
        <v>108356.10363600001</v>
      </c>
    </row>
    <row r="171" spans="1:6" ht="12.75">
      <c r="A171" s="155" t="s">
        <v>19</v>
      </c>
      <c r="B171" s="167">
        <f t="shared" si="2"/>
        <v>0</v>
      </c>
      <c r="C171" s="12"/>
      <c r="D171" s="12"/>
      <c r="E171" s="12"/>
      <c r="F171" s="12"/>
    </row>
    <row r="172" spans="1:6" ht="12.75">
      <c r="A172" s="153" t="s">
        <v>38</v>
      </c>
      <c r="B172" s="167">
        <f t="shared" si="2"/>
        <v>5933.15408868</v>
      </c>
      <c r="C172" s="12">
        <f>0.218666*C132</f>
        <v>1543.33588136</v>
      </c>
      <c r="D172" s="12">
        <f>0.210458*C132</f>
        <v>1485.40414568</v>
      </c>
      <c r="E172" s="12">
        <f>0.167241*E132</f>
        <v>1180.3802883600001</v>
      </c>
      <c r="F172" s="12">
        <f>0.244268*F132</f>
        <v>1724.03377328</v>
      </c>
    </row>
    <row r="173" spans="1:6" ht="12.75">
      <c r="A173" s="153" t="s">
        <v>39</v>
      </c>
      <c r="B173" s="167">
        <f t="shared" si="2"/>
        <v>11765.197074560001</v>
      </c>
      <c r="C173" s="12">
        <v>2164</v>
      </c>
      <c r="D173" s="12">
        <f>0.0733554*C132</f>
        <v>517.739478984</v>
      </c>
      <c r="E173" s="12">
        <f>0.536065*E132</f>
        <v>3783.5253274</v>
      </c>
      <c r="F173" s="12">
        <f>0.7509156*F132</f>
        <v>5299.932268176</v>
      </c>
    </row>
    <row r="174" spans="1:6" ht="12.75">
      <c r="A174" s="153" t="s">
        <v>228</v>
      </c>
      <c r="B174" s="167">
        <f t="shared" si="2"/>
        <v>10000</v>
      </c>
      <c r="C174" s="12">
        <v>10000</v>
      </c>
      <c r="D174" s="12"/>
      <c r="E174" s="12"/>
      <c r="F174" s="12"/>
    </row>
    <row r="175" spans="1:6" ht="12.75">
      <c r="A175" s="153" t="s">
        <v>37</v>
      </c>
      <c r="B175" s="167">
        <f t="shared" si="2"/>
        <v>15199.703636208</v>
      </c>
      <c r="C175" s="12">
        <f>0.70476*C132</f>
        <v>4974.1678896</v>
      </c>
      <c r="D175" s="12">
        <f>0.3731258*C132</f>
        <v>2633.506971368</v>
      </c>
      <c r="E175" s="12">
        <f>0.553205*E132</f>
        <v>3904.4987617999996</v>
      </c>
      <c r="F175" s="12">
        <f>0.522464*F132</f>
        <v>3687.5300134400004</v>
      </c>
    </row>
    <row r="176" spans="1:6" ht="12.75">
      <c r="A176" s="153" t="s">
        <v>20</v>
      </c>
      <c r="B176" s="167">
        <f t="shared" si="2"/>
        <v>5620.45117088</v>
      </c>
      <c r="C176" s="12"/>
      <c r="D176" s="12">
        <f>0.158142*C132</f>
        <v>1116.15991032</v>
      </c>
      <c r="E176" s="12">
        <f>0.60489*E132</f>
        <v>4269.2894244</v>
      </c>
      <c r="F176" s="12">
        <f>0.033296*F132</f>
        <v>235.00183615999998</v>
      </c>
    </row>
    <row r="177" spans="1:6" ht="12.75">
      <c r="A177" s="156" t="s">
        <v>11</v>
      </c>
      <c r="B177" s="166">
        <f t="shared" si="2"/>
        <v>48518.505970328</v>
      </c>
      <c r="C177" s="157">
        <f>C172+C173+C174+C175+C176</f>
        <v>18681.50377096</v>
      </c>
      <c r="D177" s="157">
        <f>SUM(D172:D176)</f>
        <v>5752.810506352</v>
      </c>
      <c r="E177" s="157">
        <f>SUM(E172:E176)</f>
        <v>13137.69380196</v>
      </c>
      <c r="F177" s="157">
        <f>SUM(F172:F176)</f>
        <v>10946.497891056</v>
      </c>
    </row>
    <row r="178" spans="1:6" ht="12.75">
      <c r="A178" s="153" t="s">
        <v>101</v>
      </c>
      <c r="B178" s="166">
        <f t="shared" si="2"/>
        <v>4605.56200256</v>
      </c>
      <c r="C178" s="157">
        <f>0.0644*C132</f>
        <v>454.532624</v>
      </c>
      <c r="D178" s="12">
        <v>391</v>
      </c>
      <c r="E178" s="12">
        <f>0.10264*E132</f>
        <v>724.4290143999999</v>
      </c>
      <c r="F178" s="12">
        <f>0.430096*F132</f>
        <v>3035.60036416</v>
      </c>
    </row>
    <row r="179" spans="1:6" ht="33.75">
      <c r="A179" s="161" t="s">
        <v>21</v>
      </c>
      <c r="B179" s="166">
        <f t="shared" si="2"/>
        <v>884785.537788128</v>
      </c>
      <c r="C179" s="157">
        <f>C147+C170+C177+C178</f>
        <v>201950.68339896</v>
      </c>
      <c r="D179" s="157">
        <f>D147+D170+D177+D178</f>
        <v>211716.37728635198</v>
      </c>
      <c r="E179" s="157">
        <f>E147+E170+E177+E178</f>
        <v>237425.68931636002</v>
      </c>
      <c r="F179" s="157">
        <f>F147+F170+F177+F178</f>
        <v>233692.787786456</v>
      </c>
    </row>
    <row r="180" spans="1:6" ht="32.25" customHeight="1">
      <c r="A180" s="161" t="s">
        <v>22</v>
      </c>
      <c r="B180" s="162">
        <f>B179/12/B132</f>
        <v>10.44666279619191</v>
      </c>
      <c r="C180" s="14">
        <f>C179/C132/3</f>
        <v>9.537726831311032</v>
      </c>
      <c r="D180" s="14">
        <f>D179/D132/3</f>
        <v>9.998941020084745</v>
      </c>
      <c r="E180" s="14">
        <f>E179/E132/3</f>
        <v>11.21314040300408</v>
      </c>
      <c r="F180" s="14">
        <f>F179/3/F132</f>
        <v>11.036842930367794</v>
      </c>
    </row>
    <row r="181" spans="1:6" ht="12.75">
      <c r="A181" s="163" t="s">
        <v>34</v>
      </c>
      <c r="B181" s="164">
        <f>B135-B179</f>
        <v>33238.63221187191</v>
      </c>
      <c r="C181" s="165">
        <f>C135-C179</f>
        <v>9814.25660103999</v>
      </c>
      <c r="D181" s="165">
        <f>D135-D179+9814</f>
        <v>14393.302713648009</v>
      </c>
      <c r="E181" s="165">
        <f>E135-E179+D181</f>
        <v>32604.42339728799</v>
      </c>
      <c r="F181" s="165">
        <f>F135-F179+E181</f>
        <v>33238.37561083198</v>
      </c>
    </row>
    <row r="182" spans="1:6" ht="12.75" hidden="1">
      <c r="A182" s="29"/>
      <c r="B182" s="29"/>
      <c r="C182" s="29"/>
      <c r="D182" s="29"/>
      <c r="E182" s="29"/>
      <c r="F182" s="29"/>
    </row>
    <row r="183" spans="1:6" ht="12.75" hidden="1">
      <c r="A183" s="29"/>
      <c r="B183" s="29"/>
      <c r="C183" s="29"/>
      <c r="D183" s="29"/>
      <c r="E183" s="29"/>
      <c r="F183" s="29"/>
    </row>
    <row r="184" spans="1:6" ht="12.75">
      <c r="A184" s="29" t="s">
        <v>44</v>
      </c>
      <c r="B184" s="29"/>
      <c r="C184" s="29"/>
      <c r="D184" s="29"/>
      <c r="E184" s="29"/>
      <c r="F184" s="29"/>
    </row>
    <row r="185" spans="1:6" ht="12.75">
      <c r="A185" s="29" t="s">
        <v>45</v>
      </c>
      <c r="B185" s="29"/>
      <c r="C185" s="29"/>
      <c r="D185" s="29"/>
      <c r="E185" s="29"/>
      <c r="F185" s="29"/>
    </row>
    <row r="186" spans="1:6" ht="12.75">
      <c r="A186" s="29" t="s">
        <v>579</v>
      </c>
      <c r="B186" s="29"/>
      <c r="C186" s="29"/>
      <c r="D186" s="29"/>
      <c r="E186" s="29"/>
      <c r="F186" s="29"/>
    </row>
    <row r="187" spans="1:6" ht="3.75" customHeight="1">
      <c r="A187" s="29"/>
      <c r="B187" s="29"/>
      <c r="C187" s="29"/>
      <c r="D187" s="29"/>
      <c r="E187" s="29"/>
      <c r="F187" s="29"/>
    </row>
    <row r="188" spans="1:6" ht="12.75">
      <c r="A188" s="120" t="s">
        <v>35</v>
      </c>
      <c r="B188" s="120"/>
      <c r="C188" s="29"/>
      <c r="D188" s="29"/>
      <c r="E188" s="29"/>
      <c r="F188" s="29"/>
    </row>
    <row r="189" spans="1:6" ht="12.75">
      <c r="A189" s="29" t="s">
        <v>616</v>
      </c>
      <c r="B189" s="29"/>
      <c r="C189" s="29"/>
      <c r="D189" s="29"/>
      <c r="E189" s="29"/>
      <c r="F189" s="29"/>
    </row>
    <row r="190" spans="1:6" ht="12.75">
      <c r="A190" s="29" t="s">
        <v>586</v>
      </c>
      <c r="B190" s="29"/>
      <c r="C190" s="29"/>
      <c r="D190" s="29"/>
      <c r="E190" s="29" t="s">
        <v>340</v>
      </c>
      <c r="F190" s="29"/>
    </row>
    <row r="191" spans="1:6" ht="12.75">
      <c r="A191" s="10" t="s">
        <v>1</v>
      </c>
      <c r="B191" s="10" t="s">
        <v>11</v>
      </c>
      <c r="C191" s="10" t="s">
        <v>90</v>
      </c>
      <c r="D191" s="10" t="s">
        <v>87</v>
      </c>
      <c r="E191" s="5" t="s">
        <v>120</v>
      </c>
      <c r="F191" s="10" t="s">
        <v>141</v>
      </c>
    </row>
    <row r="192" spans="1:6" ht="12.75">
      <c r="A192" s="22" t="s">
        <v>6</v>
      </c>
      <c r="B192" s="22"/>
      <c r="C192" s="10"/>
      <c r="D192" s="5"/>
      <c r="E192" s="5"/>
      <c r="F192" s="5"/>
    </row>
    <row r="193" spans="1:6" ht="12.75">
      <c r="A193" s="5" t="s">
        <v>2</v>
      </c>
      <c r="B193" s="5"/>
      <c r="C193" s="10">
        <v>4</v>
      </c>
      <c r="D193" s="10">
        <v>4</v>
      </c>
      <c r="E193" s="5"/>
      <c r="F193" s="5"/>
    </row>
    <row r="194" spans="1:6" ht="12.75">
      <c r="A194" s="5" t="s">
        <v>3</v>
      </c>
      <c r="B194" s="5"/>
      <c r="C194" s="10">
        <v>1</v>
      </c>
      <c r="D194" s="10">
        <v>1</v>
      </c>
      <c r="E194" s="5"/>
      <c r="F194" s="5"/>
    </row>
    <row r="195" spans="1:6" ht="12.75">
      <c r="A195" s="5" t="s">
        <v>4</v>
      </c>
      <c r="B195" s="5"/>
      <c r="C195" s="10">
        <v>39</v>
      </c>
      <c r="D195" s="10">
        <v>39</v>
      </c>
      <c r="E195" s="5"/>
      <c r="F195" s="5"/>
    </row>
    <row r="196" spans="1:6" ht="12.75">
      <c r="A196" s="5" t="s">
        <v>5</v>
      </c>
      <c r="B196" s="5">
        <v>1879.75</v>
      </c>
      <c r="C196" s="10">
        <v>1879.75</v>
      </c>
      <c r="D196" s="10">
        <v>1879.75</v>
      </c>
      <c r="E196" s="10">
        <v>1879.75</v>
      </c>
      <c r="F196" s="10">
        <v>1879.75</v>
      </c>
    </row>
    <row r="197" spans="1:6" ht="24">
      <c r="A197" s="150" t="s">
        <v>7</v>
      </c>
      <c r="B197" s="150"/>
      <c r="C197" s="5" t="s">
        <v>36</v>
      </c>
      <c r="D197" s="5"/>
      <c r="E197" s="5"/>
      <c r="F197" s="5"/>
    </row>
    <row r="198" spans="1:6" ht="18.75" customHeight="1">
      <c r="A198" s="151" t="s">
        <v>8</v>
      </c>
      <c r="B198" s="6">
        <f>C198+D198+E198+F198</f>
        <v>243802.3</v>
      </c>
      <c r="C198" s="10">
        <v>65995.1</v>
      </c>
      <c r="D198" s="5">
        <v>57383.95</v>
      </c>
      <c r="E198" s="5">
        <v>69466.3</v>
      </c>
      <c r="F198" s="5">
        <v>50956.95</v>
      </c>
    </row>
    <row r="199" spans="1:7" ht="12.75">
      <c r="A199" s="5" t="s">
        <v>11</v>
      </c>
      <c r="B199" s="6">
        <f>B198</f>
        <v>243802.3</v>
      </c>
      <c r="C199" s="6">
        <f>C198</f>
        <v>65995.1</v>
      </c>
      <c r="D199" s="6">
        <f>D198</f>
        <v>57383.95</v>
      </c>
      <c r="E199" s="6">
        <f>E198</f>
        <v>69466.3</v>
      </c>
      <c r="F199" s="6">
        <f>F198</f>
        <v>50956.95</v>
      </c>
      <c r="G199" s="8"/>
    </row>
    <row r="200" spans="1:6" ht="24">
      <c r="A200" s="150" t="s">
        <v>12</v>
      </c>
      <c r="B200" s="150"/>
      <c r="C200" s="5"/>
      <c r="D200" s="5"/>
      <c r="E200" s="5"/>
      <c r="F200" s="5"/>
    </row>
    <row r="201" spans="1:6" ht="12.75">
      <c r="A201" s="156" t="s">
        <v>13</v>
      </c>
      <c r="B201" s="166">
        <f>C201+D201+E201+F201</f>
        <v>59338.00997775</v>
      </c>
      <c r="C201" s="157">
        <f>7.5947*C196</f>
        <v>14276.137325</v>
      </c>
      <c r="D201" s="157">
        <f>7.622*C196</f>
        <v>14327.4545</v>
      </c>
      <c r="E201" s="157">
        <f>8.5526*E196</f>
        <v>16076.74985</v>
      </c>
      <c r="F201" s="157">
        <f>7.797669*F196</f>
        <v>14657.66830275</v>
      </c>
    </row>
    <row r="202" spans="1:6" ht="21">
      <c r="A202" s="156" t="s">
        <v>14</v>
      </c>
      <c r="B202" s="167">
        <f aca="true" t="shared" si="3" ref="B202:B239">C202+D202+E202+F202</f>
        <v>0</v>
      </c>
      <c r="C202" s="12"/>
      <c r="D202" s="5"/>
      <c r="E202" s="12"/>
      <c r="F202" s="12"/>
    </row>
    <row r="203" spans="1:6" ht="12.75">
      <c r="A203" s="153" t="s">
        <v>15</v>
      </c>
      <c r="B203" s="167">
        <f t="shared" si="3"/>
        <v>78326.11</v>
      </c>
      <c r="C203" s="12">
        <f>C204+C206</f>
        <v>17826.23</v>
      </c>
      <c r="D203" s="12">
        <f>D204+D206+D207+D208+D209+D210</f>
        <v>18902.4</v>
      </c>
      <c r="E203" s="12">
        <f>E204+E206+E207+E208+E209+E210</f>
        <v>22650.59</v>
      </c>
      <c r="F203" s="12">
        <f>F204+F206+F207+F208+F209+F210</f>
        <v>18946.89</v>
      </c>
    </row>
    <row r="204" spans="1:6" ht="12.75">
      <c r="A204" s="158" t="s">
        <v>16</v>
      </c>
      <c r="B204" s="167">
        <f t="shared" si="3"/>
        <v>73527.63</v>
      </c>
      <c r="C204" s="165">
        <v>17712</v>
      </c>
      <c r="D204" s="12">
        <v>16908.63</v>
      </c>
      <c r="E204" s="12">
        <v>20330</v>
      </c>
      <c r="F204" s="12">
        <v>18577</v>
      </c>
    </row>
    <row r="205" spans="1:6" ht="12.75">
      <c r="A205" s="153" t="s">
        <v>33</v>
      </c>
      <c r="B205" s="167">
        <f t="shared" si="3"/>
        <v>51525.12</v>
      </c>
      <c r="C205" s="165">
        <v>11540.43</v>
      </c>
      <c r="D205" s="12">
        <v>12306.69</v>
      </c>
      <c r="E205" s="12">
        <v>13839</v>
      </c>
      <c r="F205" s="12">
        <v>13839</v>
      </c>
    </row>
    <row r="206" spans="1:10" ht="12.75">
      <c r="A206" s="153" t="s">
        <v>24</v>
      </c>
      <c r="B206" s="167">
        <f t="shared" si="3"/>
        <v>1097.48</v>
      </c>
      <c r="C206" s="12">
        <v>114.23</v>
      </c>
      <c r="D206" s="12">
        <v>275.77</v>
      </c>
      <c r="E206" s="12">
        <v>337.59</v>
      </c>
      <c r="F206" s="12">
        <v>369.89</v>
      </c>
      <c r="J206" t="s">
        <v>255</v>
      </c>
    </row>
    <row r="207" spans="1:6" ht="12.75">
      <c r="A207" s="153" t="s">
        <v>17</v>
      </c>
      <c r="B207" s="167">
        <f t="shared" si="3"/>
        <v>0</v>
      </c>
      <c r="C207" s="12"/>
      <c r="D207" s="12"/>
      <c r="E207" s="12"/>
      <c r="F207" s="12"/>
    </row>
    <row r="208" spans="1:6" ht="12.75">
      <c r="A208" s="153" t="s">
        <v>40</v>
      </c>
      <c r="B208" s="167">
        <f t="shared" si="3"/>
        <v>0</v>
      </c>
      <c r="C208" s="12"/>
      <c r="D208" s="12"/>
      <c r="E208" s="12"/>
      <c r="F208" s="12"/>
    </row>
    <row r="209" spans="1:6" ht="12.75">
      <c r="A209" s="153" t="s">
        <v>93</v>
      </c>
      <c r="B209" s="167">
        <f t="shared" si="3"/>
        <v>0</v>
      </c>
      <c r="C209" s="12"/>
      <c r="D209" s="12"/>
      <c r="E209" s="12"/>
      <c r="F209" s="12"/>
    </row>
    <row r="210" spans="1:6" ht="12.75">
      <c r="A210" s="153" t="s">
        <v>355</v>
      </c>
      <c r="B210" s="167">
        <f t="shared" si="3"/>
        <v>3701</v>
      </c>
      <c r="C210" s="12"/>
      <c r="D210" s="12">
        <v>1718</v>
      </c>
      <c r="E210" s="12">
        <v>1983</v>
      </c>
      <c r="F210" s="12"/>
    </row>
    <row r="211" spans="1:6" ht="12.75">
      <c r="A211" s="155" t="s">
        <v>11</v>
      </c>
      <c r="B211" s="166">
        <f t="shared" si="3"/>
        <v>137664.11997775</v>
      </c>
      <c r="C211" s="157">
        <f>C201+C203</f>
        <v>32102.367325</v>
      </c>
      <c r="D211" s="157">
        <f>D201+D203</f>
        <v>33229.8545</v>
      </c>
      <c r="E211" s="157">
        <f>E201+E203</f>
        <v>38727.339850000004</v>
      </c>
      <c r="F211" s="157">
        <f>F201+F203</f>
        <v>33604.558302749996</v>
      </c>
    </row>
    <row r="212" spans="1:6" ht="21" customHeight="1">
      <c r="A212" s="159" t="s">
        <v>18</v>
      </c>
      <c r="B212" s="166">
        <f t="shared" si="3"/>
        <v>0</v>
      </c>
      <c r="C212" s="12"/>
      <c r="D212" s="5"/>
      <c r="E212" s="12"/>
      <c r="F212" s="12"/>
    </row>
    <row r="213" spans="1:6" ht="12.75">
      <c r="A213" s="153" t="s">
        <v>23</v>
      </c>
      <c r="B213" s="166">
        <f t="shared" si="3"/>
        <v>46096.545325</v>
      </c>
      <c r="C213" s="165">
        <f>5.3352*C196</f>
        <v>10028.842200000001</v>
      </c>
      <c r="D213" s="12">
        <f>6.1735*C196</f>
        <v>11604.636625</v>
      </c>
      <c r="E213" s="12">
        <f>6.4099*E196</f>
        <v>12049.009525000001</v>
      </c>
      <c r="F213" s="12">
        <f>6.6041*F196</f>
        <v>12414.056975</v>
      </c>
    </row>
    <row r="214" spans="1:6" ht="12.75">
      <c r="A214" s="153" t="s">
        <v>122</v>
      </c>
      <c r="B214" s="166">
        <f t="shared" si="3"/>
        <v>0</v>
      </c>
      <c r="C214" s="12"/>
      <c r="D214" s="10"/>
      <c r="E214" s="12"/>
      <c r="F214" s="12"/>
    </row>
    <row r="215" spans="1:6" ht="12.75">
      <c r="A215" s="153" t="s">
        <v>25</v>
      </c>
      <c r="B215" s="166">
        <f t="shared" si="3"/>
        <v>0</v>
      </c>
      <c r="C215" s="12"/>
      <c r="D215" s="10"/>
      <c r="E215" s="12"/>
      <c r="F215" s="12"/>
    </row>
    <row r="216" spans="1:7" ht="12.75">
      <c r="A216" s="153" t="s">
        <v>30</v>
      </c>
      <c r="B216" s="167">
        <f t="shared" si="3"/>
        <v>20648.2</v>
      </c>
      <c r="C216" s="12">
        <v>10396.35</v>
      </c>
      <c r="D216" s="12">
        <v>7489.85</v>
      </c>
      <c r="E216" s="12">
        <v>1280</v>
      </c>
      <c r="F216" s="30">
        <v>1482</v>
      </c>
      <c r="G216" s="119"/>
    </row>
    <row r="217" spans="1:6" ht="12.75">
      <c r="A217" s="153" t="s">
        <v>28</v>
      </c>
      <c r="B217" s="167">
        <f t="shared" si="3"/>
        <v>1606.0700000000002</v>
      </c>
      <c r="C217" s="12"/>
      <c r="D217" s="10"/>
      <c r="E217" s="12">
        <v>739.5</v>
      </c>
      <c r="F217" s="12">
        <v>866.57</v>
      </c>
    </row>
    <row r="218" spans="1:6" ht="12.75">
      <c r="A218" s="153" t="s">
        <v>41</v>
      </c>
      <c r="B218" s="167">
        <f t="shared" si="3"/>
        <v>0</v>
      </c>
      <c r="C218" s="12"/>
      <c r="D218" s="10"/>
      <c r="E218" s="12"/>
      <c r="F218" s="12"/>
    </row>
    <row r="219" spans="1:6" ht="12.75">
      <c r="A219" s="153" t="s">
        <v>50</v>
      </c>
      <c r="B219" s="167">
        <f t="shared" si="3"/>
        <v>0</v>
      </c>
      <c r="C219" s="12"/>
      <c r="D219" s="10"/>
      <c r="E219" s="12"/>
      <c r="F219" s="12"/>
    </row>
    <row r="220" spans="1:6" ht="12.75">
      <c r="A220" s="153" t="s">
        <v>52</v>
      </c>
      <c r="B220" s="167">
        <f t="shared" si="3"/>
        <v>4530</v>
      </c>
      <c r="C220" s="12">
        <v>1989</v>
      </c>
      <c r="D220" s="10"/>
      <c r="E220" s="12">
        <v>1879</v>
      </c>
      <c r="F220" s="12">
        <v>662</v>
      </c>
    </row>
    <row r="221" spans="1:6" ht="12.75">
      <c r="A221" s="153" t="s">
        <v>26</v>
      </c>
      <c r="B221" s="167">
        <f t="shared" si="3"/>
        <v>0</v>
      </c>
      <c r="C221" s="12"/>
      <c r="D221" s="12"/>
      <c r="E221" s="12"/>
      <c r="F221" s="12"/>
    </row>
    <row r="222" spans="1:6" ht="12.75">
      <c r="A222" s="153" t="s">
        <v>27</v>
      </c>
      <c r="B222" s="167">
        <f t="shared" si="3"/>
        <v>0</v>
      </c>
      <c r="C222" s="12"/>
      <c r="D222" s="10"/>
      <c r="E222" s="12"/>
      <c r="F222" s="12"/>
    </row>
    <row r="223" spans="1:6" ht="12.75">
      <c r="A223" s="153" t="s">
        <v>31</v>
      </c>
      <c r="B223" s="167">
        <f t="shared" si="3"/>
        <v>0</v>
      </c>
      <c r="C223" s="12"/>
      <c r="D223" s="10"/>
      <c r="E223" s="12"/>
      <c r="F223" s="12"/>
    </row>
    <row r="224" spans="1:6" ht="12.75">
      <c r="A224" s="153" t="s">
        <v>46</v>
      </c>
      <c r="B224" s="167">
        <f t="shared" si="3"/>
        <v>0</v>
      </c>
      <c r="C224" s="12"/>
      <c r="D224" s="10"/>
      <c r="E224" s="12"/>
      <c r="F224" s="12"/>
    </row>
    <row r="225" spans="1:6" ht="12.75">
      <c r="A225" s="153" t="s">
        <v>47</v>
      </c>
      <c r="B225" s="167">
        <f t="shared" si="3"/>
        <v>510</v>
      </c>
      <c r="C225" s="12">
        <v>240</v>
      </c>
      <c r="D225" s="10">
        <v>270</v>
      </c>
      <c r="E225" s="12"/>
      <c r="F225" s="12"/>
    </row>
    <row r="226" spans="1:6" ht="22.5">
      <c r="A226" s="153" t="s">
        <v>225</v>
      </c>
      <c r="B226" s="167">
        <f t="shared" si="3"/>
        <v>269.42</v>
      </c>
      <c r="C226" s="12">
        <v>269.42</v>
      </c>
      <c r="D226" s="10"/>
      <c r="E226" s="12"/>
      <c r="F226" s="12"/>
    </row>
    <row r="227" spans="1:6" ht="12.75">
      <c r="A227" s="153" t="s">
        <v>569</v>
      </c>
      <c r="B227" s="167">
        <f t="shared" si="3"/>
        <v>439</v>
      </c>
      <c r="C227" s="12"/>
      <c r="D227" s="10"/>
      <c r="E227" s="12"/>
      <c r="F227" s="12">
        <v>439</v>
      </c>
    </row>
    <row r="228" spans="1:6" ht="12.75">
      <c r="A228" s="153" t="s">
        <v>49</v>
      </c>
      <c r="B228" s="167">
        <f t="shared" si="3"/>
        <v>0</v>
      </c>
      <c r="C228" s="12"/>
      <c r="D228" s="10"/>
      <c r="E228" s="12"/>
      <c r="F228" s="12"/>
    </row>
    <row r="229" spans="1:6" ht="12.75">
      <c r="A229" s="153" t="s">
        <v>51</v>
      </c>
      <c r="B229" s="167">
        <f t="shared" si="3"/>
        <v>0</v>
      </c>
      <c r="C229" s="12"/>
      <c r="D229" s="10"/>
      <c r="E229" s="12"/>
      <c r="F229" s="12"/>
    </row>
    <row r="230" spans="1:6" ht="12.75">
      <c r="A230" s="155" t="s">
        <v>11</v>
      </c>
      <c r="B230" s="166">
        <f t="shared" si="3"/>
        <v>74099.23532499999</v>
      </c>
      <c r="C230" s="157">
        <f>SUM(C213:C229)</f>
        <v>22923.6122</v>
      </c>
      <c r="D230" s="157">
        <f>D213+D214+D215+D216+D217+D218+D219+D220+D221+D222+D223+D224+D225+D226+D227+D228+D229</f>
        <v>19364.486624999998</v>
      </c>
      <c r="E230" s="157">
        <f>SUM(E213:E229)</f>
        <v>15947.509525000001</v>
      </c>
      <c r="F230" s="157">
        <f>SUM(F213:F229)</f>
        <v>15863.626975</v>
      </c>
    </row>
    <row r="231" spans="1:6" ht="12.75">
      <c r="A231" s="155" t="s">
        <v>19</v>
      </c>
      <c r="B231" s="166">
        <f t="shared" si="3"/>
        <v>0</v>
      </c>
      <c r="C231" s="12"/>
      <c r="D231" s="5"/>
      <c r="E231" s="12"/>
      <c r="F231" s="12"/>
    </row>
    <row r="232" spans="1:6" ht="12.75">
      <c r="A232" s="153" t="s">
        <v>38</v>
      </c>
      <c r="B232" s="167">
        <f t="shared" si="3"/>
        <v>1580.17988175</v>
      </c>
      <c r="C232" s="12">
        <f>0.218666*C196</f>
        <v>411.0374135</v>
      </c>
      <c r="D232" s="12">
        <f>0.210458*C196</f>
        <v>395.6084255</v>
      </c>
      <c r="E232" s="12">
        <f>0.167241*E196</f>
        <v>314.37126975</v>
      </c>
      <c r="F232" s="12">
        <f>0.244268*F196</f>
        <v>459.162773</v>
      </c>
    </row>
    <row r="233" spans="1:6" ht="12.75">
      <c r="A233" s="153" t="s">
        <v>39</v>
      </c>
      <c r="B233" s="167">
        <f t="shared" si="3"/>
        <v>3133.39099025</v>
      </c>
      <c r="C233" s="12">
        <f>0.306583*C196</f>
        <v>576.29939425</v>
      </c>
      <c r="D233" s="12">
        <f>0.0733554*C196</f>
        <v>137.88981315</v>
      </c>
      <c r="E233" s="12">
        <f>0.536065*E196</f>
        <v>1007.66818375</v>
      </c>
      <c r="F233" s="12">
        <f>0.7509156*F196</f>
        <v>1411.5335991</v>
      </c>
    </row>
    <row r="234" spans="1:6" ht="12.75">
      <c r="A234" s="153" t="s">
        <v>32</v>
      </c>
      <c r="B234" s="167">
        <f t="shared" si="3"/>
        <v>0</v>
      </c>
      <c r="C234" s="12"/>
      <c r="D234" s="12"/>
      <c r="E234" s="12"/>
      <c r="F234" s="12"/>
    </row>
    <row r="235" spans="1:6" ht="12.75">
      <c r="A235" s="153" t="s">
        <v>37</v>
      </c>
      <c r="B235" s="167">
        <f t="shared" si="3"/>
        <v>4048.1446353</v>
      </c>
      <c r="C235" s="12">
        <f>0.70476*C196</f>
        <v>1324.77261</v>
      </c>
      <c r="D235" s="12">
        <f>0.3731258*C196</f>
        <v>701.38322255</v>
      </c>
      <c r="E235" s="12">
        <f>0.553205*E196</f>
        <v>1039.88709875</v>
      </c>
      <c r="F235" s="12">
        <f>0.522464*F196</f>
        <v>982.101704</v>
      </c>
    </row>
    <row r="236" spans="1:6" ht="12.75">
      <c r="A236" s="153" t="s">
        <v>20</v>
      </c>
      <c r="B236" s="167">
        <f t="shared" si="3"/>
        <v>1199.6301335</v>
      </c>
      <c r="C236" s="12"/>
      <c r="D236" s="12"/>
      <c r="E236" s="12">
        <f>0.60489*E196</f>
        <v>1137.0419775</v>
      </c>
      <c r="F236" s="12">
        <f>0.033296*F196</f>
        <v>62.588156</v>
      </c>
    </row>
    <row r="237" spans="1:6" ht="12.75">
      <c r="A237" s="156" t="s">
        <v>11</v>
      </c>
      <c r="B237" s="166">
        <f t="shared" si="3"/>
        <v>9961.3456408</v>
      </c>
      <c r="C237" s="157">
        <f>C232+C233+C234+C235+C236</f>
        <v>2312.10941775</v>
      </c>
      <c r="D237" s="157">
        <f>SUM(D232:D236)</f>
        <v>1234.8814612</v>
      </c>
      <c r="E237" s="157">
        <f>SUM(E232:E236)</f>
        <v>3498.96852975</v>
      </c>
      <c r="F237" s="157">
        <f>SUM(F232:F236)</f>
        <v>2915.3862320999997</v>
      </c>
    </row>
    <row r="238" spans="1:6" ht="12.75">
      <c r="A238" s="153" t="s">
        <v>101</v>
      </c>
      <c r="B238" s="166">
        <f t="shared" si="3"/>
        <v>1226.4663959999998</v>
      </c>
      <c r="C238" s="157">
        <f>0.0644*C196</f>
        <v>121.0559</v>
      </c>
      <c r="D238" s="12">
        <v>104</v>
      </c>
      <c r="E238" s="12">
        <f>0.10264*E196</f>
        <v>192.93753999999998</v>
      </c>
      <c r="F238" s="12">
        <f>0.430096*F196</f>
        <v>808.472956</v>
      </c>
    </row>
    <row r="239" spans="1:6" ht="33.75">
      <c r="A239" s="161" t="s">
        <v>21</v>
      </c>
      <c r="B239" s="166">
        <f t="shared" si="3"/>
        <v>222951.16733954998</v>
      </c>
      <c r="C239" s="157">
        <f>C211+C230+C237+C238</f>
        <v>57459.14484275</v>
      </c>
      <c r="D239" s="12">
        <f>D211+D230+D237+D238</f>
        <v>53933.2225862</v>
      </c>
      <c r="E239" s="12">
        <f>E211+E230+E237+E238</f>
        <v>58366.75544475</v>
      </c>
      <c r="F239" s="12">
        <f>F211+F230+F237+F238</f>
        <v>53192.04446584999</v>
      </c>
    </row>
    <row r="240" spans="1:6" ht="33.75">
      <c r="A240" s="161" t="s">
        <v>22</v>
      </c>
      <c r="B240" s="162">
        <f>B239/12/B196</f>
        <v>9.883901553378108</v>
      </c>
      <c r="C240" s="14">
        <f>C239/3/C196</f>
        <v>10.189146578490048</v>
      </c>
      <c r="D240" s="14">
        <f>D239/3/C196</f>
        <v>9.563899913321807</v>
      </c>
      <c r="E240" s="14">
        <f>E239/3/C196</f>
        <v>10.350091846389148</v>
      </c>
      <c r="F240" s="14">
        <f>F239/3/C196</f>
        <v>9.432467875311433</v>
      </c>
    </row>
    <row r="241" spans="1:6" ht="12.75">
      <c r="A241" s="163" t="s">
        <v>34</v>
      </c>
      <c r="B241" s="164">
        <f>B199-B239</f>
        <v>20851.132660450006</v>
      </c>
      <c r="C241" s="165">
        <f>C199-C239</f>
        <v>8535.955157250006</v>
      </c>
      <c r="D241" s="165">
        <f>D199-D239+8536</f>
        <v>11986.7274138</v>
      </c>
      <c r="E241" s="165">
        <f>E199-E239+D241</f>
        <v>23086.27196905</v>
      </c>
      <c r="F241" s="165">
        <f>F199-F239+E241</f>
        <v>20851.177503200008</v>
      </c>
    </row>
    <row r="242" spans="1:6" ht="12.75">
      <c r="A242" s="29" t="s">
        <v>44</v>
      </c>
      <c r="B242" s="29"/>
      <c r="C242" s="29"/>
      <c r="D242" s="29"/>
      <c r="E242" s="29"/>
      <c r="F242" s="29"/>
    </row>
    <row r="243" spans="1:6" ht="12.75">
      <c r="A243" s="29" t="s">
        <v>45</v>
      </c>
      <c r="B243" s="29"/>
      <c r="C243" s="29"/>
      <c r="D243" s="29"/>
      <c r="E243" s="29"/>
      <c r="F243" s="29"/>
    </row>
    <row r="244" spans="1:6" ht="12.75">
      <c r="A244" s="29" t="s">
        <v>579</v>
      </c>
      <c r="B244" s="29"/>
      <c r="C244" s="29"/>
      <c r="D244" s="29"/>
      <c r="E244" s="29"/>
      <c r="F244" s="29"/>
    </row>
    <row r="245" spans="1:6" ht="5.25" customHeight="1">
      <c r="A245" s="29"/>
      <c r="B245" s="29"/>
      <c r="C245" s="29"/>
      <c r="D245" s="29"/>
      <c r="E245" s="29"/>
      <c r="F245" s="29"/>
    </row>
    <row r="246" spans="1:6" ht="12.75" hidden="1">
      <c r="A246" s="29"/>
      <c r="B246" s="29"/>
      <c r="C246" s="29"/>
      <c r="D246" s="29"/>
      <c r="E246" s="29"/>
      <c r="F246" s="29"/>
    </row>
    <row r="247" spans="1:6" ht="17.25" customHeight="1" hidden="1">
      <c r="A247" s="29"/>
      <c r="B247" s="29"/>
      <c r="C247" s="29"/>
      <c r="D247" s="29"/>
      <c r="E247" s="29"/>
      <c r="F247" s="29"/>
    </row>
    <row r="248" spans="1:6" ht="12.75">
      <c r="A248" s="120" t="s">
        <v>35</v>
      </c>
      <c r="B248" s="120"/>
      <c r="C248" s="29"/>
      <c r="D248" s="29"/>
      <c r="E248" s="29"/>
      <c r="F248" s="29"/>
    </row>
    <row r="249" spans="1:6" ht="12.75">
      <c r="A249" s="29" t="s">
        <v>616</v>
      </c>
      <c r="B249" s="29"/>
      <c r="C249" s="29"/>
      <c r="D249" s="29"/>
      <c r="E249" s="29"/>
      <c r="F249" s="29"/>
    </row>
    <row r="250" spans="1:6" ht="12.75">
      <c r="A250" s="29" t="s">
        <v>587</v>
      </c>
      <c r="B250" s="29"/>
      <c r="C250" s="29"/>
      <c r="D250" s="29"/>
      <c r="E250" s="29" t="s">
        <v>340</v>
      </c>
      <c r="F250" s="29"/>
    </row>
    <row r="251" spans="1:6" ht="12.75">
      <c r="A251" s="10" t="s">
        <v>1</v>
      </c>
      <c r="B251" s="10" t="s">
        <v>11</v>
      </c>
      <c r="C251" s="10" t="s">
        <v>90</v>
      </c>
      <c r="D251" s="10" t="s">
        <v>87</v>
      </c>
      <c r="E251" s="10" t="s">
        <v>120</v>
      </c>
      <c r="F251" s="10" t="s">
        <v>141</v>
      </c>
    </row>
    <row r="252" spans="1:6" ht="12.75">
      <c r="A252" s="22" t="s">
        <v>6</v>
      </c>
      <c r="B252" s="22"/>
      <c r="C252" s="10"/>
      <c r="D252" s="5"/>
      <c r="E252" s="5"/>
      <c r="F252" s="5"/>
    </row>
    <row r="253" spans="1:6" ht="12.75">
      <c r="A253" s="5" t="s">
        <v>2</v>
      </c>
      <c r="B253" s="5"/>
      <c r="C253" s="10">
        <v>9</v>
      </c>
      <c r="D253" s="5"/>
      <c r="E253" s="5"/>
      <c r="F253" s="5"/>
    </row>
    <row r="254" spans="1:6" ht="12.75">
      <c r="A254" s="5" t="s">
        <v>3</v>
      </c>
      <c r="B254" s="5"/>
      <c r="C254" s="10">
        <v>3</v>
      </c>
      <c r="D254" s="5"/>
      <c r="E254" s="5"/>
      <c r="F254" s="5"/>
    </row>
    <row r="255" spans="1:6" ht="12.75">
      <c r="A255" s="5" t="s">
        <v>4</v>
      </c>
      <c r="B255" s="5"/>
      <c r="C255" s="10">
        <v>82</v>
      </c>
      <c r="D255" s="5"/>
      <c r="E255" s="5"/>
      <c r="F255" s="5"/>
    </row>
    <row r="256" spans="1:6" ht="12.75">
      <c r="A256" s="5" t="s">
        <v>5</v>
      </c>
      <c r="B256" s="10">
        <v>4438.99</v>
      </c>
      <c r="C256" s="10">
        <v>4438.99</v>
      </c>
      <c r="D256" s="10">
        <v>4438.99</v>
      </c>
      <c r="E256" s="10">
        <v>4438.99</v>
      </c>
      <c r="F256" s="10">
        <v>4438.99</v>
      </c>
    </row>
    <row r="257" spans="1:6" ht="24">
      <c r="A257" s="150" t="s">
        <v>7</v>
      </c>
      <c r="B257" s="150"/>
      <c r="C257" s="5" t="s">
        <v>36</v>
      </c>
      <c r="D257" s="5"/>
      <c r="E257" s="5"/>
      <c r="F257" s="5"/>
    </row>
    <row r="258" spans="1:6" ht="21.75" customHeight="1">
      <c r="A258" s="151" t="s">
        <v>8</v>
      </c>
      <c r="B258" s="6">
        <f>C258+D258+E258+F258</f>
        <v>626123.78</v>
      </c>
      <c r="C258" s="10">
        <v>140627.46</v>
      </c>
      <c r="D258" s="5">
        <v>169998.26</v>
      </c>
      <c r="E258" s="5">
        <v>185050.17</v>
      </c>
      <c r="F258" s="5">
        <v>130447.89</v>
      </c>
    </row>
    <row r="259" spans="1:7" ht="12.75">
      <c r="A259" s="5" t="s">
        <v>11</v>
      </c>
      <c r="B259" s="152">
        <f>B258</f>
        <v>626123.78</v>
      </c>
      <c r="C259" s="152">
        <f>C258</f>
        <v>140627.46</v>
      </c>
      <c r="D259" s="152">
        <f>D258</f>
        <v>169998.26</v>
      </c>
      <c r="E259" s="152">
        <f>E258</f>
        <v>185050.17</v>
      </c>
      <c r="F259" s="152">
        <f>F258</f>
        <v>130447.89</v>
      </c>
      <c r="G259" s="8"/>
    </row>
    <row r="260" spans="1:6" ht="24">
      <c r="A260" s="150" t="s">
        <v>12</v>
      </c>
      <c r="B260" s="150"/>
      <c r="C260" s="5"/>
      <c r="D260" s="5"/>
      <c r="E260" s="5"/>
      <c r="F260" s="12"/>
    </row>
    <row r="261" spans="1:6" ht="12.75">
      <c r="A261" s="156" t="s">
        <v>13</v>
      </c>
      <c r="B261" s="166">
        <f>C261+D261+E261+F261</f>
        <v>140169.84962130996</v>
      </c>
      <c r="C261" s="157">
        <f>7.5947*C256</f>
        <v>33712.797352999994</v>
      </c>
      <c r="D261" s="157">
        <f>7.632*C256</f>
        <v>33878.37168</v>
      </c>
      <c r="E261" s="157">
        <f>8.5526*E256</f>
        <v>37964.905874</v>
      </c>
      <c r="F261" s="157">
        <f>7.797669*F256</f>
        <v>34613.77471431</v>
      </c>
    </row>
    <row r="262" spans="1:6" ht="13.5" customHeight="1">
      <c r="A262" s="156" t="s">
        <v>14</v>
      </c>
      <c r="B262" s="167">
        <f aca="true" t="shared" si="4" ref="B262:B300">C262+D262+E262+F262</f>
        <v>0</v>
      </c>
      <c r="C262" s="12"/>
      <c r="D262" s="12"/>
      <c r="E262" s="12"/>
      <c r="F262" s="12"/>
    </row>
    <row r="263" spans="1:6" ht="12.75">
      <c r="A263" s="153" t="s">
        <v>15</v>
      </c>
      <c r="B263" s="167">
        <f>B264+B266+B267+B268+B269+B270+B271+B272</f>
        <v>160241.35</v>
      </c>
      <c r="C263" s="167">
        <f>C264+C266+C267+C268+C269+C270+C271+C272</f>
        <v>33558.73</v>
      </c>
      <c r="D263" s="167">
        <f>D264+D266+D267+D268+D269+D270+D271+D272</f>
        <v>45350.13</v>
      </c>
      <c r="E263" s="167">
        <f>E264+E266+E267+E268+E269+E270+E271+E272</f>
        <v>45784.49</v>
      </c>
      <c r="F263" s="167">
        <f>F264+F266+F267+F268+F269+F270+F271+F272</f>
        <v>35548</v>
      </c>
    </row>
    <row r="264" spans="1:6" ht="12.75">
      <c r="A264" s="158" t="s">
        <v>16</v>
      </c>
      <c r="B264" s="167">
        <f t="shared" si="4"/>
        <v>137938</v>
      </c>
      <c r="C264" s="165">
        <v>33284</v>
      </c>
      <c r="D264" s="12">
        <v>31168</v>
      </c>
      <c r="E264" s="12">
        <v>38813</v>
      </c>
      <c r="F264" s="12">
        <v>34673</v>
      </c>
    </row>
    <row r="265" spans="1:6" ht="12.75">
      <c r="A265" s="153" t="s">
        <v>33</v>
      </c>
      <c r="B265" s="167">
        <f t="shared" si="4"/>
        <v>85980.72</v>
      </c>
      <c r="C265" s="165">
        <v>18709.48</v>
      </c>
      <c r="D265" s="12">
        <v>20301.24</v>
      </c>
      <c r="E265" s="12">
        <v>23485</v>
      </c>
      <c r="F265" s="12">
        <v>23485</v>
      </c>
    </row>
    <row r="266" spans="1:6" ht="12.75">
      <c r="A266" s="153" t="s">
        <v>24</v>
      </c>
      <c r="B266" s="167">
        <f t="shared" si="4"/>
        <v>2675.95</v>
      </c>
      <c r="C266" s="12">
        <v>274.73</v>
      </c>
      <c r="D266" s="12">
        <v>660.73</v>
      </c>
      <c r="E266" s="12">
        <v>865.49</v>
      </c>
      <c r="F266" s="12">
        <v>875</v>
      </c>
    </row>
    <row r="267" spans="1:6" ht="12.75">
      <c r="A267" s="153" t="s">
        <v>40</v>
      </c>
      <c r="B267" s="167">
        <f t="shared" si="4"/>
        <v>774</v>
      </c>
      <c r="C267" s="12"/>
      <c r="D267" s="12">
        <v>774</v>
      </c>
      <c r="E267" s="12"/>
      <c r="F267" s="12"/>
    </row>
    <row r="268" spans="1:6" ht="12.75">
      <c r="A268" s="153" t="s">
        <v>93</v>
      </c>
      <c r="B268" s="167">
        <f t="shared" si="4"/>
        <v>392.4</v>
      </c>
      <c r="C268" s="12"/>
      <c r="D268" s="12">
        <v>392.4</v>
      </c>
      <c r="E268" s="12"/>
      <c r="F268" s="12"/>
    </row>
    <row r="269" spans="1:6" ht="12.75">
      <c r="A269" s="153" t="s">
        <v>358</v>
      </c>
      <c r="B269" s="167">
        <f t="shared" si="4"/>
        <v>7824</v>
      </c>
      <c r="C269" s="12"/>
      <c r="D269" s="12">
        <v>1718</v>
      </c>
      <c r="E269" s="12">
        <v>6106</v>
      </c>
      <c r="F269" s="12"/>
    </row>
    <row r="270" spans="1:6" ht="12.75">
      <c r="A270" s="153" t="s">
        <v>256</v>
      </c>
      <c r="B270" s="167">
        <f t="shared" si="4"/>
        <v>0</v>
      </c>
      <c r="C270" s="12"/>
      <c r="D270" s="12"/>
      <c r="E270" s="12"/>
      <c r="F270" s="12"/>
    </row>
    <row r="271" spans="1:6" ht="12.75">
      <c r="A271" s="153" t="s">
        <v>106</v>
      </c>
      <c r="B271" s="167">
        <f t="shared" si="4"/>
        <v>1767</v>
      </c>
      <c r="C271" s="12"/>
      <c r="D271" s="12">
        <v>1767</v>
      </c>
      <c r="E271" s="12"/>
      <c r="F271" s="12"/>
    </row>
    <row r="272" spans="1:6" ht="12.75">
      <c r="A272" s="153" t="s">
        <v>252</v>
      </c>
      <c r="B272" s="167">
        <f t="shared" si="4"/>
        <v>8870</v>
      </c>
      <c r="C272" s="12"/>
      <c r="D272" s="12">
        <v>8870</v>
      </c>
      <c r="E272" s="12"/>
      <c r="F272" s="12"/>
    </row>
    <row r="273" spans="1:6" ht="12.75">
      <c r="A273" s="155" t="s">
        <v>11</v>
      </c>
      <c r="B273" s="166">
        <f t="shared" si="4"/>
        <v>300411.19962131</v>
      </c>
      <c r="C273" s="157">
        <f>C261+C263</f>
        <v>67271.527353</v>
      </c>
      <c r="D273" s="157">
        <f>D261+D263</f>
        <v>79228.50167999999</v>
      </c>
      <c r="E273" s="157">
        <f>E261+E263</f>
        <v>83749.395874</v>
      </c>
      <c r="F273" s="157">
        <f>F261+F263</f>
        <v>70161.77471431</v>
      </c>
    </row>
    <row r="274" spans="1:6" ht="20.25" customHeight="1">
      <c r="A274" s="159" t="s">
        <v>18</v>
      </c>
      <c r="B274" s="167">
        <f t="shared" si="4"/>
        <v>0</v>
      </c>
      <c r="C274" s="12"/>
      <c r="D274" s="12"/>
      <c r="E274" s="12"/>
      <c r="F274" s="12"/>
    </row>
    <row r="275" spans="1:6" ht="12.75">
      <c r="A275" s="153" t="s">
        <v>23</v>
      </c>
      <c r="B275" s="167">
        <f t="shared" si="4"/>
        <v>108856.02007299999</v>
      </c>
      <c r="C275" s="165">
        <f>5.3352*C256</f>
        <v>23682.899448</v>
      </c>
      <c r="D275" s="12">
        <f>6.1735*C256</f>
        <v>27404.104764999996</v>
      </c>
      <c r="E275" s="12">
        <f>6.4099*E256</f>
        <v>28453.482001</v>
      </c>
      <c r="F275" s="12">
        <f>6.6041*F256</f>
        <v>29315.533859</v>
      </c>
    </row>
    <row r="276" spans="1:6" ht="12.75">
      <c r="A276" s="153" t="s">
        <v>463</v>
      </c>
      <c r="B276" s="167">
        <f t="shared" si="4"/>
        <v>4595</v>
      </c>
      <c r="C276" s="12"/>
      <c r="D276" s="12"/>
      <c r="E276" s="12"/>
      <c r="F276" s="12">
        <v>4595</v>
      </c>
    </row>
    <row r="277" spans="1:7" ht="12.75">
      <c r="A277" s="153" t="s">
        <v>353</v>
      </c>
      <c r="B277" s="167">
        <f t="shared" si="4"/>
        <v>65576</v>
      </c>
      <c r="C277" s="12">
        <v>17760</v>
      </c>
      <c r="D277" s="12">
        <v>11445</v>
      </c>
      <c r="E277" s="12">
        <v>31453</v>
      </c>
      <c r="F277" s="30">
        <v>4918</v>
      </c>
      <c r="G277" s="119"/>
    </row>
    <row r="278" spans="1:6" ht="12.75">
      <c r="A278" s="153" t="s">
        <v>28</v>
      </c>
      <c r="B278" s="167">
        <f t="shared" si="4"/>
        <v>4834.33</v>
      </c>
      <c r="C278" s="12">
        <v>359.5</v>
      </c>
      <c r="D278" s="12">
        <v>1681</v>
      </c>
      <c r="E278" s="12">
        <v>2227</v>
      </c>
      <c r="F278" s="12">
        <v>566.83</v>
      </c>
    </row>
    <row r="279" spans="1:6" ht="12.75">
      <c r="A279" s="153" t="s">
        <v>41</v>
      </c>
      <c r="B279" s="167">
        <f t="shared" si="4"/>
        <v>1894</v>
      </c>
      <c r="C279" s="12">
        <v>876</v>
      </c>
      <c r="D279" s="12"/>
      <c r="E279" s="12">
        <v>580</v>
      </c>
      <c r="F279" s="12">
        <v>438</v>
      </c>
    </row>
    <row r="280" spans="1:6" ht="12.75">
      <c r="A280" s="153" t="s">
        <v>50</v>
      </c>
      <c r="B280" s="167">
        <f t="shared" si="4"/>
        <v>10846</v>
      </c>
      <c r="C280" s="12"/>
      <c r="D280" s="12">
        <v>7453</v>
      </c>
      <c r="E280" s="12"/>
      <c r="F280" s="12">
        <v>3393</v>
      </c>
    </row>
    <row r="281" spans="1:6" ht="12.75">
      <c r="A281" s="153" t="s">
        <v>52</v>
      </c>
      <c r="B281" s="167">
        <f t="shared" si="4"/>
        <v>10022</v>
      </c>
      <c r="C281" s="12">
        <v>5179</v>
      </c>
      <c r="D281" s="12">
        <v>4398</v>
      </c>
      <c r="E281" s="12"/>
      <c r="F281" s="12">
        <v>445</v>
      </c>
    </row>
    <row r="282" spans="1:6" ht="12.75">
      <c r="A282" s="153" t="s">
        <v>27</v>
      </c>
      <c r="B282" s="167">
        <f t="shared" si="4"/>
        <v>142.5</v>
      </c>
      <c r="C282" s="12"/>
      <c r="D282" s="12"/>
      <c r="E282" s="12">
        <v>142.5</v>
      </c>
      <c r="F282" s="12"/>
    </row>
    <row r="283" spans="1:6" ht="12.75">
      <c r="A283" s="153" t="s">
        <v>357</v>
      </c>
      <c r="B283" s="167">
        <f t="shared" si="4"/>
        <v>13200</v>
      </c>
      <c r="C283" s="12"/>
      <c r="D283" s="12"/>
      <c r="E283" s="12">
        <v>13200</v>
      </c>
      <c r="F283" s="12"/>
    </row>
    <row r="284" spans="1:6" ht="12.75">
      <c r="A284" s="153" t="s">
        <v>435</v>
      </c>
      <c r="B284" s="167">
        <f t="shared" si="4"/>
        <v>642</v>
      </c>
      <c r="C284" s="12"/>
      <c r="D284" s="12"/>
      <c r="E284" s="12"/>
      <c r="F284" s="12">
        <v>642</v>
      </c>
    </row>
    <row r="285" spans="1:6" ht="12.75">
      <c r="A285" s="153" t="s">
        <v>47</v>
      </c>
      <c r="B285" s="167">
        <f t="shared" si="4"/>
        <v>2860</v>
      </c>
      <c r="C285" s="12">
        <v>645</v>
      </c>
      <c r="D285" s="12">
        <v>1185</v>
      </c>
      <c r="E285" s="12">
        <v>610</v>
      </c>
      <c r="F285" s="12">
        <v>420</v>
      </c>
    </row>
    <row r="286" spans="1:6" ht="22.5">
      <c r="A286" s="153" t="s">
        <v>225</v>
      </c>
      <c r="B286" s="167">
        <f t="shared" si="4"/>
        <v>636.22</v>
      </c>
      <c r="C286" s="12">
        <v>636.22</v>
      </c>
      <c r="D286" s="12"/>
      <c r="E286" s="12"/>
      <c r="F286" s="12"/>
    </row>
    <row r="287" spans="1:6" ht="12.75">
      <c r="A287" s="153" t="s">
        <v>119</v>
      </c>
      <c r="B287" s="167">
        <f t="shared" si="4"/>
        <v>630</v>
      </c>
      <c r="C287" s="12"/>
      <c r="D287" s="12"/>
      <c r="E287" s="12">
        <v>630</v>
      </c>
      <c r="F287" s="12"/>
    </row>
    <row r="288" spans="1:6" ht="12.75">
      <c r="A288" s="153" t="s">
        <v>229</v>
      </c>
      <c r="B288" s="167">
        <f t="shared" si="4"/>
        <v>60</v>
      </c>
      <c r="C288" s="12">
        <v>60</v>
      </c>
      <c r="D288" s="12"/>
      <c r="E288" s="12"/>
      <c r="F288" s="12"/>
    </row>
    <row r="289" spans="1:6" ht="12.75">
      <c r="A289" s="153" t="s">
        <v>462</v>
      </c>
      <c r="B289" s="167">
        <f t="shared" si="4"/>
        <v>14903</v>
      </c>
      <c r="C289" s="12"/>
      <c r="D289" s="12"/>
      <c r="E289" s="12"/>
      <c r="F289" s="12">
        <v>14903</v>
      </c>
    </row>
    <row r="290" spans="1:6" ht="12.75">
      <c r="A290" s="153" t="s">
        <v>356</v>
      </c>
      <c r="B290" s="167">
        <f t="shared" si="4"/>
        <v>69863</v>
      </c>
      <c r="C290" s="12"/>
      <c r="D290" s="12"/>
      <c r="E290" s="12">
        <v>33242</v>
      </c>
      <c r="F290" s="12">
        <v>36621</v>
      </c>
    </row>
    <row r="291" spans="1:6" ht="12.75">
      <c r="A291" s="153" t="s">
        <v>453</v>
      </c>
      <c r="B291" s="167">
        <f t="shared" si="4"/>
        <v>1116</v>
      </c>
      <c r="C291" s="12"/>
      <c r="D291" s="12"/>
      <c r="E291" s="12"/>
      <c r="F291" s="12">
        <v>1116</v>
      </c>
    </row>
    <row r="292" spans="1:6" ht="12.75">
      <c r="A292" s="155" t="s">
        <v>11</v>
      </c>
      <c r="B292" s="166">
        <f>SUM(B275:B291)</f>
        <v>310676.070073</v>
      </c>
      <c r="C292" s="166">
        <f>SUM(C275:C291)</f>
        <v>49198.619448</v>
      </c>
      <c r="D292" s="166">
        <f>SUM(D275:D291)</f>
        <v>53566.104765</v>
      </c>
      <c r="E292" s="166">
        <f>SUM(E275:E291)</f>
        <v>110537.982001</v>
      </c>
      <c r="F292" s="166">
        <f>SUM(F275:F291)</f>
        <v>97373.363859</v>
      </c>
    </row>
    <row r="293" spans="1:6" ht="12.75">
      <c r="A293" s="155" t="s">
        <v>19</v>
      </c>
      <c r="B293" s="167">
        <f t="shared" si="4"/>
        <v>0</v>
      </c>
      <c r="C293" s="12"/>
      <c r="D293" s="12"/>
      <c r="E293" s="12"/>
      <c r="F293" s="12"/>
    </row>
    <row r="294" spans="1:6" ht="12.75">
      <c r="A294" s="153" t="s">
        <v>38</v>
      </c>
      <c r="B294" s="167">
        <f t="shared" si="4"/>
        <v>3731.56148067</v>
      </c>
      <c r="C294" s="12">
        <f>0.218666*C256</f>
        <v>970.65618734</v>
      </c>
      <c r="D294" s="12">
        <f>0.210458*C256</f>
        <v>934.22095742</v>
      </c>
      <c r="E294" s="12">
        <f>0.167241*E256</f>
        <v>742.38112659</v>
      </c>
      <c r="F294" s="12">
        <f>0.244268*F256</f>
        <v>1084.30320932</v>
      </c>
    </row>
    <row r="295" spans="1:6" ht="12.75">
      <c r="A295" s="153" t="s">
        <v>39</v>
      </c>
      <c r="B295" s="167">
        <f t="shared" si="4"/>
        <v>7399.43677181</v>
      </c>
      <c r="C295" s="12">
        <f>0.306583*C256</f>
        <v>1360.9188711699999</v>
      </c>
      <c r="D295" s="12">
        <f>0.0733554*C256</f>
        <v>325.623887046</v>
      </c>
      <c r="E295" s="12">
        <f>0.536065*E256</f>
        <v>2379.58717435</v>
      </c>
      <c r="F295" s="12">
        <f>0.7509156*F256</f>
        <v>3333.306839244</v>
      </c>
    </row>
    <row r="296" spans="1:6" ht="12.75">
      <c r="A296" s="153" t="s">
        <v>37</v>
      </c>
      <c r="B296" s="167">
        <f t="shared" si="4"/>
        <v>9559.608221652</v>
      </c>
      <c r="C296" s="12">
        <f>0.70476*C256</f>
        <v>3128.4225924</v>
      </c>
      <c r="D296" s="12">
        <f>0.3731258*C256</f>
        <v>1656.301694942</v>
      </c>
      <c r="E296" s="12">
        <f>0.553205*E256</f>
        <v>2455.6714629499997</v>
      </c>
      <c r="F296" s="12">
        <f>0.522464*F256</f>
        <v>2319.21247136</v>
      </c>
    </row>
    <row r="297" spans="1:6" ht="12.75">
      <c r="A297" s="153" t="s">
        <v>20</v>
      </c>
      <c r="B297" s="167">
        <f t="shared" si="4"/>
        <v>3534.8920287200003</v>
      </c>
      <c r="C297" s="12"/>
      <c r="D297" s="12">
        <f>0.158142*C256</f>
        <v>701.99075658</v>
      </c>
      <c r="E297" s="12">
        <f>0.60489*E256</f>
        <v>2685.1006611000003</v>
      </c>
      <c r="F297" s="12">
        <f>0.033296*F256</f>
        <v>147.80061103999998</v>
      </c>
    </row>
    <row r="298" spans="1:6" ht="12.75">
      <c r="A298" s="156" t="s">
        <v>11</v>
      </c>
      <c r="B298" s="166">
        <f>SUM(B294:B297)</f>
        <v>24225.498502852002</v>
      </c>
      <c r="C298" s="166">
        <f>SUM(C294:C297)</f>
        <v>5459.99765091</v>
      </c>
      <c r="D298" s="166">
        <f>SUM(D294:D297)</f>
        <v>3618.137295988</v>
      </c>
      <c r="E298" s="166">
        <f>SUM(E294:E297)</f>
        <v>8262.74042499</v>
      </c>
      <c r="F298" s="166">
        <f>SUM(F294:F297)</f>
        <v>6884.623130964001</v>
      </c>
    </row>
    <row r="299" spans="1:6" ht="12.75">
      <c r="A299" s="153" t="s">
        <v>101</v>
      </c>
      <c r="B299" s="166">
        <f t="shared" si="4"/>
        <v>2896.68073264</v>
      </c>
      <c r="C299" s="157">
        <f>0.0644*C256</f>
        <v>285.870956</v>
      </c>
      <c r="D299" s="157">
        <v>246</v>
      </c>
      <c r="E299" s="12">
        <f>0.10264*E256</f>
        <v>455.61793359999996</v>
      </c>
      <c r="F299" s="12">
        <f>0.430096*F256</f>
        <v>1909.1918430399999</v>
      </c>
    </row>
    <row r="300" spans="1:6" ht="33.75">
      <c r="A300" s="161" t="s">
        <v>21</v>
      </c>
      <c r="B300" s="166">
        <f t="shared" si="4"/>
        <v>638209.448929802</v>
      </c>
      <c r="C300" s="157">
        <f>C273+C292+C298+C299</f>
        <v>122216.01540790999</v>
      </c>
      <c r="D300" s="157">
        <f>D273+D292+D298+D299</f>
        <v>136658.743740988</v>
      </c>
      <c r="E300" s="157">
        <f>E273+E292+E298+E299</f>
        <v>203005.73623359003</v>
      </c>
      <c r="F300" s="157">
        <f>F273+F292+F298+F299</f>
        <v>176328.95354731398</v>
      </c>
    </row>
    <row r="301" spans="1:6" ht="37.5" customHeight="1">
      <c r="A301" s="161" t="s">
        <v>22</v>
      </c>
      <c r="B301" s="168">
        <f>B300/12/B256</f>
        <v>11.981131010466383</v>
      </c>
      <c r="C301" s="14">
        <f>C300/C256/3</f>
        <v>9.177464198530897</v>
      </c>
      <c r="D301" s="14">
        <f>D300/3/C256</f>
        <v>10.261999819853013</v>
      </c>
      <c r="E301" s="14">
        <f>E300/3/C256</f>
        <v>15.244138586599657</v>
      </c>
      <c r="F301" s="13">
        <f>F300/3/F256</f>
        <v>13.240921436881964</v>
      </c>
    </row>
    <row r="302" spans="1:6" ht="12.75">
      <c r="A302" s="163" t="s">
        <v>34</v>
      </c>
      <c r="B302" s="164">
        <f>B259-B300</f>
        <v>-12085.668929802021</v>
      </c>
      <c r="C302" s="165">
        <f>C259-C300</f>
        <v>18411.444592090003</v>
      </c>
      <c r="D302" s="12">
        <f>D259-D300+C302</f>
        <v>51750.96085110202</v>
      </c>
      <c r="E302" s="12">
        <f>E259-E300+D302</f>
        <v>33795.39461751201</v>
      </c>
      <c r="F302" s="12">
        <f>F259-F300+E302</f>
        <v>-12085.668929801977</v>
      </c>
    </row>
    <row r="303" spans="1:6" ht="12.75">
      <c r="A303" s="29" t="s">
        <v>44</v>
      </c>
      <c r="B303" s="29"/>
      <c r="C303" s="29"/>
      <c r="D303" s="29"/>
      <c r="E303" s="29"/>
      <c r="F303" s="29"/>
    </row>
    <row r="304" spans="1:6" ht="12.75">
      <c r="A304" s="29" t="s">
        <v>579</v>
      </c>
      <c r="B304" s="29"/>
      <c r="C304" s="29"/>
      <c r="D304" s="29"/>
      <c r="E304" s="29"/>
      <c r="F304" s="29"/>
    </row>
    <row r="305" spans="1:6" ht="12" customHeight="1">
      <c r="A305" s="29" t="s">
        <v>45</v>
      </c>
      <c r="B305" s="29"/>
      <c r="C305" s="29"/>
      <c r="D305" s="29"/>
      <c r="E305" s="29"/>
      <c r="F305" s="29"/>
    </row>
    <row r="306" spans="1:6" ht="280.5" customHeight="1" hidden="1">
      <c r="A306" s="29"/>
      <c r="B306" s="29"/>
      <c r="C306" s="29"/>
      <c r="D306" s="29"/>
      <c r="E306" s="29"/>
      <c r="F306" s="29"/>
    </row>
    <row r="307" spans="1:6" ht="22.5" customHeight="1" hidden="1">
      <c r="A307" s="29"/>
      <c r="B307" s="29"/>
      <c r="C307" s="29"/>
      <c r="D307" s="29"/>
      <c r="E307" s="29"/>
      <c r="F307" s="29"/>
    </row>
    <row r="308" spans="1:6" ht="12.75">
      <c r="A308" s="120" t="s">
        <v>35</v>
      </c>
      <c r="B308" s="120"/>
      <c r="C308" s="29"/>
      <c r="D308" s="29"/>
      <c r="E308" s="29"/>
      <c r="F308" s="29"/>
    </row>
    <row r="309" spans="1:6" ht="12.75">
      <c r="A309" s="29" t="s">
        <v>616</v>
      </c>
      <c r="B309" s="29"/>
      <c r="C309" s="29"/>
      <c r="D309" s="29"/>
      <c r="E309" s="29"/>
      <c r="F309" s="29"/>
    </row>
    <row r="310" spans="1:6" ht="12.75">
      <c r="A310" s="29" t="s">
        <v>588</v>
      </c>
      <c r="B310" s="29"/>
      <c r="C310" s="29"/>
      <c r="D310" s="29"/>
      <c r="E310" s="29" t="s">
        <v>340</v>
      </c>
      <c r="F310" s="29"/>
    </row>
    <row r="311" spans="1:6" ht="12.75">
      <c r="A311" s="10" t="s">
        <v>1</v>
      </c>
      <c r="B311" s="10" t="s">
        <v>11</v>
      </c>
      <c r="C311" s="10" t="s">
        <v>90</v>
      </c>
      <c r="D311" s="10" t="s">
        <v>87</v>
      </c>
      <c r="E311" s="10" t="s">
        <v>120</v>
      </c>
      <c r="F311" s="10" t="s">
        <v>141</v>
      </c>
    </row>
    <row r="312" spans="1:6" ht="12.75">
      <c r="A312" s="22" t="s">
        <v>6</v>
      </c>
      <c r="B312" s="22"/>
      <c r="C312" s="10"/>
      <c r="D312" s="5"/>
      <c r="E312" s="5"/>
      <c r="F312" s="5"/>
    </row>
    <row r="313" spans="1:6" ht="12.75">
      <c r="A313" s="5" t="s">
        <v>2</v>
      </c>
      <c r="B313" s="5"/>
      <c r="C313" s="10">
        <v>9</v>
      </c>
      <c r="D313" s="5"/>
      <c r="E313" s="5"/>
      <c r="F313" s="5"/>
    </row>
    <row r="314" spans="1:6" ht="12.75">
      <c r="A314" s="5" t="s">
        <v>3</v>
      </c>
      <c r="B314" s="5"/>
      <c r="C314" s="10">
        <v>4</v>
      </c>
      <c r="D314" s="5"/>
      <c r="E314" s="5"/>
      <c r="F314" s="5"/>
    </row>
    <row r="315" spans="1:6" ht="12.75">
      <c r="A315" s="5" t="s">
        <v>4</v>
      </c>
      <c r="B315" s="5"/>
      <c r="C315" s="10">
        <v>108</v>
      </c>
      <c r="D315" s="5"/>
      <c r="E315" s="5"/>
      <c r="F315" s="5"/>
    </row>
    <row r="316" spans="1:6" ht="12.75">
      <c r="A316" s="5" t="s">
        <v>5</v>
      </c>
      <c r="B316" s="10">
        <v>7001.3</v>
      </c>
      <c r="C316" s="10">
        <v>7001.3</v>
      </c>
      <c r="D316" s="10">
        <v>7001.3</v>
      </c>
      <c r="E316" s="10">
        <v>7001.3</v>
      </c>
      <c r="F316" s="10">
        <v>7001.3</v>
      </c>
    </row>
    <row r="317" spans="1:6" ht="24">
      <c r="A317" s="150" t="s">
        <v>7</v>
      </c>
      <c r="B317" s="150"/>
      <c r="C317" s="5" t="s">
        <v>36</v>
      </c>
      <c r="D317" s="5"/>
      <c r="E317" s="5"/>
      <c r="F317" s="5"/>
    </row>
    <row r="318" spans="1:6" ht="18.75" customHeight="1">
      <c r="A318" s="151" t="s">
        <v>8</v>
      </c>
      <c r="B318" s="6">
        <f>C318+D318+E318+F318</f>
        <v>880377.45</v>
      </c>
      <c r="C318" s="10">
        <v>218233.86</v>
      </c>
      <c r="D318" s="5">
        <v>200888.16</v>
      </c>
      <c r="E318" s="5">
        <v>235067.11</v>
      </c>
      <c r="F318" s="5">
        <v>226188.32</v>
      </c>
    </row>
    <row r="319" spans="1:6" ht="12.75">
      <c r="A319" s="5" t="s">
        <v>11</v>
      </c>
      <c r="B319" s="6">
        <f>B318</f>
        <v>880377.45</v>
      </c>
      <c r="C319" s="6">
        <f>C318</f>
        <v>218233.86</v>
      </c>
      <c r="D319" s="6">
        <f>D318</f>
        <v>200888.16</v>
      </c>
      <c r="E319" s="6">
        <f>E318</f>
        <v>235067.11</v>
      </c>
      <c r="F319" s="6">
        <f>F318</f>
        <v>226188.32</v>
      </c>
    </row>
    <row r="320" spans="1:6" ht="24">
      <c r="A320" s="150" t="s">
        <v>12</v>
      </c>
      <c r="B320" s="150"/>
      <c r="C320" s="5"/>
      <c r="D320" s="5"/>
      <c r="E320" s="5"/>
      <c r="F320" s="5"/>
    </row>
    <row r="321" spans="1:7" ht="12.75">
      <c r="A321" s="156" t="s">
        <v>13</v>
      </c>
      <c r="B321" s="166">
        <f>C321+D321+E321+F321</f>
        <v>221079.83305970003</v>
      </c>
      <c r="C321" s="157">
        <f>7.5947*C316</f>
        <v>53172.77311</v>
      </c>
      <c r="D321" s="157">
        <f>7.632*C316</f>
        <v>53433.9216</v>
      </c>
      <c r="E321" s="157">
        <f>8.5526*E316</f>
        <v>59879.318380000004</v>
      </c>
      <c r="F321" s="157">
        <f>7.797669*F316</f>
        <v>54593.8199697</v>
      </c>
      <c r="G321" s="8"/>
    </row>
    <row r="322" spans="1:6" ht="10.5" customHeight="1">
      <c r="A322" s="156" t="s">
        <v>14</v>
      </c>
      <c r="B322" s="167">
        <f aca="true" t="shared" si="5" ref="B322:B362">C322+D322+E322+F322</f>
        <v>0</v>
      </c>
      <c r="C322" s="12"/>
      <c r="D322" s="171"/>
      <c r="E322" s="12"/>
      <c r="F322" s="12"/>
    </row>
    <row r="323" spans="1:6" ht="12.75">
      <c r="A323" s="153" t="s">
        <v>15</v>
      </c>
      <c r="B323" s="167">
        <f>B324+B326+B327+B328+B329+B330+B331</f>
        <v>242685.27</v>
      </c>
      <c r="C323" s="167">
        <f>C324+C326+C327+C328+C329+C330+C331</f>
        <v>51887.66</v>
      </c>
      <c r="D323" s="167">
        <f>D324+D326+D327+D328+D329+D330+D331</f>
        <v>60250.99</v>
      </c>
      <c r="E323" s="167">
        <f>E324+E326+E327+E328+E329+E330+E331</f>
        <v>67770.62</v>
      </c>
      <c r="F323" s="167">
        <f>F324+F326+F327+F328+F329+F330+F331</f>
        <v>62776</v>
      </c>
    </row>
    <row r="324" spans="1:6" ht="12.75">
      <c r="A324" s="158" t="s">
        <v>16</v>
      </c>
      <c r="B324" s="167">
        <f t="shared" si="5"/>
        <v>213606</v>
      </c>
      <c r="C324" s="165">
        <v>51491</v>
      </c>
      <c r="D324" s="12">
        <v>48162</v>
      </c>
      <c r="E324" s="12">
        <v>60241</v>
      </c>
      <c r="F324" s="12">
        <v>53712</v>
      </c>
    </row>
    <row r="325" spans="1:6" ht="12.75">
      <c r="A325" s="153" t="s">
        <v>33</v>
      </c>
      <c r="B325" s="167">
        <f t="shared" si="5"/>
        <v>131656</v>
      </c>
      <c r="C325" s="165">
        <v>28501</v>
      </c>
      <c r="D325" s="12">
        <v>31023</v>
      </c>
      <c r="E325" s="12">
        <v>36066</v>
      </c>
      <c r="F325" s="12">
        <v>36066</v>
      </c>
    </row>
    <row r="326" spans="1:6" ht="12.75">
      <c r="A326" s="153" t="s">
        <v>24</v>
      </c>
      <c r="B326" s="167">
        <f t="shared" si="5"/>
        <v>4051.25</v>
      </c>
      <c r="C326" s="12">
        <v>396.66</v>
      </c>
      <c r="D326" s="12">
        <v>951.59</v>
      </c>
      <c r="E326" s="12">
        <v>1300</v>
      </c>
      <c r="F326" s="12">
        <v>1403</v>
      </c>
    </row>
    <row r="327" spans="1:6" ht="12.75">
      <c r="A327" s="153" t="s">
        <v>277</v>
      </c>
      <c r="B327" s="167">
        <f t="shared" si="5"/>
        <v>1523.12</v>
      </c>
      <c r="C327" s="12"/>
      <c r="D327" s="12"/>
      <c r="E327" s="12">
        <v>1473.12</v>
      </c>
      <c r="F327" s="12">
        <v>50</v>
      </c>
    </row>
    <row r="328" spans="1:6" ht="12.75">
      <c r="A328" s="153" t="s">
        <v>97</v>
      </c>
      <c r="B328" s="167">
        <f t="shared" si="5"/>
        <v>654.9</v>
      </c>
      <c r="C328" s="12"/>
      <c r="D328" s="12">
        <v>392.4</v>
      </c>
      <c r="E328" s="12">
        <v>262.5</v>
      </c>
      <c r="F328" s="12"/>
    </row>
    <row r="329" spans="1:6" ht="12.75">
      <c r="A329" s="153" t="s">
        <v>464</v>
      </c>
      <c r="B329" s="167">
        <f t="shared" si="5"/>
        <v>13580</v>
      </c>
      <c r="C329" s="12"/>
      <c r="D329" s="12">
        <v>1875</v>
      </c>
      <c r="E329" s="12">
        <v>4494</v>
      </c>
      <c r="F329" s="12">
        <v>7211</v>
      </c>
    </row>
    <row r="330" spans="1:6" ht="12.75">
      <c r="A330" s="153" t="s">
        <v>252</v>
      </c>
      <c r="B330" s="167">
        <f t="shared" si="5"/>
        <v>8870</v>
      </c>
      <c r="C330" s="12"/>
      <c r="D330" s="12">
        <v>8870</v>
      </c>
      <c r="E330" s="12"/>
      <c r="F330" s="12"/>
    </row>
    <row r="331" spans="1:6" ht="12.75">
      <c r="A331" s="153" t="s">
        <v>454</v>
      </c>
      <c r="B331" s="167">
        <f t="shared" si="5"/>
        <v>400</v>
      </c>
      <c r="C331" s="12"/>
      <c r="D331" s="12"/>
      <c r="E331" s="12"/>
      <c r="F331" s="12">
        <v>400</v>
      </c>
    </row>
    <row r="332" spans="1:6" ht="12.75">
      <c r="A332" s="155" t="s">
        <v>11</v>
      </c>
      <c r="B332" s="167">
        <f>B321+B323</f>
        <v>463765.1030597</v>
      </c>
      <c r="C332" s="167">
        <f>C321+C323</f>
        <v>105060.43311000001</v>
      </c>
      <c r="D332" s="167">
        <f>D321+D323</f>
        <v>113684.91159999999</v>
      </c>
      <c r="E332" s="167">
        <f>E321+E323</f>
        <v>127649.93838</v>
      </c>
      <c r="F332" s="167">
        <f>F321+F323</f>
        <v>117369.81996970001</v>
      </c>
    </row>
    <row r="333" spans="1:6" ht="18.75" customHeight="1">
      <c r="A333" s="159" t="s">
        <v>18</v>
      </c>
      <c r="B333" s="167">
        <f t="shared" si="5"/>
        <v>0</v>
      </c>
      <c r="C333" s="12"/>
      <c r="D333" s="5"/>
      <c r="E333" s="12"/>
      <c r="F333" s="12"/>
    </row>
    <row r="334" spans="1:6" ht="12.75">
      <c r="A334" s="153" t="s">
        <v>23</v>
      </c>
      <c r="B334" s="167">
        <f t="shared" si="5"/>
        <v>171690.77951000002</v>
      </c>
      <c r="C334" s="165">
        <f>5.3352*C316</f>
        <v>37353.33576</v>
      </c>
      <c r="D334" s="12">
        <f>6.1735*C316</f>
        <v>43222.52555</v>
      </c>
      <c r="E334" s="12">
        <f>6.4099*E316</f>
        <v>44877.63287</v>
      </c>
      <c r="F334" s="12">
        <f>6.6041*F316</f>
        <v>46237.28533</v>
      </c>
    </row>
    <row r="335" spans="1:6" ht="12.75">
      <c r="A335" s="153" t="s">
        <v>467</v>
      </c>
      <c r="B335" s="167">
        <f t="shared" si="5"/>
        <v>15547</v>
      </c>
      <c r="C335" s="12"/>
      <c r="D335" s="5"/>
      <c r="E335" s="12">
        <v>2047</v>
      </c>
      <c r="F335" s="12">
        <v>13500</v>
      </c>
    </row>
    <row r="336" spans="1:6" ht="12.75">
      <c r="A336" s="153" t="s">
        <v>361</v>
      </c>
      <c r="B336" s="167">
        <f t="shared" si="5"/>
        <v>5822</v>
      </c>
      <c r="C336" s="12"/>
      <c r="D336" s="5"/>
      <c r="E336" s="12">
        <v>5822</v>
      </c>
      <c r="F336" s="12"/>
    </row>
    <row r="337" spans="1:6" ht="12.75">
      <c r="A337" s="153" t="s">
        <v>465</v>
      </c>
      <c r="B337" s="167">
        <f t="shared" si="5"/>
        <v>104439</v>
      </c>
      <c r="C337" s="12"/>
      <c r="D337" s="5"/>
      <c r="E337" s="12">
        <v>19461</v>
      </c>
      <c r="F337" s="12">
        <v>84978</v>
      </c>
    </row>
    <row r="338" spans="1:6" ht="12.75">
      <c r="A338" s="153" t="s">
        <v>353</v>
      </c>
      <c r="B338" s="167">
        <f t="shared" si="5"/>
        <v>60844</v>
      </c>
      <c r="C338" s="12">
        <v>10541</v>
      </c>
      <c r="D338" s="10">
        <v>24534</v>
      </c>
      <c r="E338" s="12">
        <v>24644</v>
      </c>
      <c r="F338" s="12">
        <v>1125</v>
      </c>
    </row>
    <row r="339" spans="1:6" ht="12.75">
      <c r="A339" s="153" t="s">
        <v>28</v>
      </c>
      <c r="B339" s="167">
        <f t="shared" si="5"/>
        <v>4194.780000000001</v>
      </c>
      <c r="C339" s="12"/>
      <c r="D339" s="10"/>
      <c r="E339" s="12">
        <v>3795.78</v>
      </c>
      <c r="F339" s="12">
        <v>399</v>
      </c>
    </row>
    <row r="340" spans="1:6" ht="12.75">
      <c r="A340" s="153" t="s">
        <v>41</v>
      </c>
      <c r="B340" s="167">
        <f t="shared" si="5"/>
        <v>4632.5</v>
      </c>
      <c r="C340" s="12">
        <v>508</v>
      </c>
      <c r="D340" s="10"/>
      <c r="E340" s="12">
        <v>2654.5</v>
      </c>
      <c r="F340" s="12">
        <v>1470</v>
      </c>
    </row>
    <row r="341" spans="1:6" ht="12.75">
      <c r="A341" s="153" t="s">
        <v>50</v>
      </c>
      <c r="B341" s="167">
        <f t="shared" si="5"/>
        <v>1624.9</v>
      </c>
      <c r="C341" s="12">
        <v>144.9</v>
      </c>
      <c r="D341" s="10"/>
      <c r="E341" s="12">
        <v>1480</v>
      </c>
      <c r="F341" s="12"/>
    </row>
    <row r="342" spans="1:6" ht="12.75">
      <c r="A342" s="153" t="s">
        <v>52</v>
      </c>
      <c r="B342" s="167">
        <f t="shared" si="5"/>
        <v>926</v>
      </c>
      <c r="C342" s="12"/>
      <c r="D342" s="10"/>
      <c r="E342" s="12">
        <v>926</v>
      </c>
      <c r="F342" s="12"/>
    </row>
    <row r="343" spans="1:6" ht="12.75">
      <c r="A343" s="153" t="s">
        <v>359</v>
      </c>
      <c r="B343" s="167">
        <f t="shared" si="5"/>
        <v>332.5</v>
      </c>
      <c r="C343" s="12"/>
      <c r="D343" s="10"/>
      <c r="E343" s="12">
        <v>142.5</v>
      </c>
      <c r="F343" s="12">
        <v>190</v>
      </c>
    </row>
    <row r="344" spans="1:6" ht="12.75">
      <c r="A344" s="153" t="s">
        <v>453</v>
      </c>
      <c r="B344" s="167">
        <f t="shared" si="5"/>
        <v>1760</v>
      </c>
      <c r="C344" s="12"/>
      <c r="D344" s="10"/>
      <c r="E344" s="12"/>
      <c r="F344" s="12">
        <v>1760</v>
      </c>
    </row>
    <row r="345" spans="1:6" ht="12.75">
      <c r="A345" s="153" t="s">
        <v>230</v>
      </c>
      <c r="B345" s="167">
        <f t="shared" si="5"/>
        <v>18981.46</v>
      </c>
      <c r="C345" s="12">
        <v>18981.46</v>
      </c>
      <c r="D345" s="10"/>
      <c r="E345" s="12"/>
      <c r="F345" s="12"/>
    </row>
    <row r="346" spans="1:6" ht="22.5">
      <c r="A346" s="153" t="s">
        <v>360</v>
      </c>
      <c r="B346" s="167">
        <f t="shared" si="5"/>
        <v>1851.5</v>
      </c>
      <c r="C346" s="12"/>
      <c r="D346" s="10"/>
      <c r="E346" s="12">
        <v>1851.5</v>
      </c>
      <c r="F346" s="12"/>
    </row>
    <row r="347" spans="1:6" ht="12.75">
      <c r="A347" s="153" t="s">
        <v>47</v>
      </c>
      <c r="B347" s="167">
        <f t="shared" si="5"/>
        <v>482.5</v>
      </c>
      <c r="C347" s="12"/>
      <c r="D347" s="10">
        <v>330</v>
      </c>
      <c r="E347" s="12">
        <v>152.5</v>
      </c>
      <c r="F347" s="12"/>
    </row>
    <row r="348" spans="1:6" ht="16.5" customHeight="1">
      <c r="A348" s="153" t="s">
        <v>225</v>
      </c>
      <c r="B348" s="167">
        <f t="shared" si="5"/>
        <v>1003.47</v>
      </c>
      <c r="C348" s="12">
        <v>1003.47</v>
      </c>
      <c r="D348" s="10"/>
      <c r="E348" s="12"/>
      <c r="F348" s="12"/>
    </row>
    <row r="349" spans="1:6" ht="12.75">
      <c r="A349" s="153" t="s">
        <v>466</v>
      </c>
      <c r="B349" s="167">
        <f t="shared" si="5"/>
        <v>3606</v>
      </c>
      <c r="C349" s="12"/>
      <c r="D349" s="10"/>
      <c r="E349" s="12"/>
      <c r="F349" s="12">
        <v>3606</v>
      </c>
    </row>
    <row r="350" spans="1:6" ht="12.75">
      <c r="A350" s="153" t="s">
        <v>119</v>
      </c>
      <c r="B350" s="167">
        <f t="shared" si="5"/>
        <v>885</v>
      </c>
      <c r="C350" s="12"/>
      <c r="D350" s="10"/>
      <c r="E350" s="12">
        <v>630</v>
      </c>
      <c r="F350" s="12">
        <v>255</v>
      </c>
    </row>
    <row r="351" spans="1:6" ht="12.75">
      <c r="A351" s="153" t="s">
        <v>357</v>
      </c>
      <c r="B351" s="167">
        <f t="shared" si="5"/>
        <v>18000</v>
      </c>
      <c r="C351" s="12"/>
      <c r="D351" s="10"/>
      <c r="E351" s="12">
        <v>18000</v>
      </c>
      <c r="F351" s="12"/>
    </row>
    <row r="352" spans="1:6" ht="12.75">
      <c r="A352" s="153" t="s">
        <v>53</v>
      </c>
      <c r="B352" s="167">
        <f t="shared" si="5"/>
        <v>10800</v>
      </c>
      <c r="C352" s="12"/>
      <c r="D352" s="10">
        <v>10800</v>
      </c>
      <c r="E352" s="12"/>
      <c r="F352" s="12"/>
    </row>
    <row r="353" spans="1:6" ht="12.75">
      <c r="A353" s="153" t="s">
        <v>121</v>
      </c>
      <c r="B353" s="167">
        <f t="shared" si="5"/>
        <v>1900</v>
      </c>
      <c r="C353" s="12"/>
      <c r="D353" s="10"/>
      <c r="E353" s="12">
        <v>1900</v>
      </c>
      <c r="F353" s="12"/>
    </row>
    <row r="354" spans="1:6" ht="12.75">
      <c r="A354" s="155" t="s">
        <v>11</v>
      </c>
      <c r="B354" s="166">
        <f t="shared" si="5"/>
        <v>429323.38951</v>
      </c>
      <c r="C354" s="157">
        <f>SUM(C334:C353)</f>
        <v>68532.16576</v>
      </c>
      <c r="D354" s="157">
        <f>SUM(D334:D352)</f>
        <v>78886.52554999999</v>
      </c>
      <c r="E354" s="157">
        <f>SUM(E334:E353)</f>
        <v>128384.41287</v>
      </c>
      <c r="F354" s="157">
        <f>SUM(F334:F353)</f>
        <v>153520.28532999998</v>
      </c>
    </row>
    <row r="355" spans="1:6" ht="12.75">
      <c r="A355" s="155" t="s">
        <v>19</v>
      </c>
      <c r="B355" s="167">
        <f t="shared" si="5"/>
        <v>0</v>
      </c>
      <c r="C355" s="12"/>
      <c r="D355" s="10"/>
      <c r="E355" s="12"/>
      <c r="F355" s="12"/>
    </row>
    <row r="356" spans="1:6" ht="12.75">
      <c r="A356" s="153" t="s">
        <v>38</v>
      </c>
      <c r="B356" s="167">
        <f t="shared" si="5"/>
        <v>5885.523822900001</v>
      </c>
      <c r="C356" s="12">
        <f>0.218666*C316</f>
        <v>1530.9462658</v>
      </c>
      <c r="D356" s="12">
        <f>0.210458*C316</f>
        <v>1473.4795954</v>
      </c>
      <c r="E356" s="12">
        <f>0.167241*E316</f>
        <v>1170.9044133</v>
      </c>
      <c r="F356" s="12">
        <f>0.244268*F316</f>
        <v>1710.1935484</v>
      </c>
    </row>
    <row r="357" spans="1:6" ht="12.75">
      <c r="A357" s="153" t="s">
        <v>39</v>
      </c>
      <c r="B357" s="167">
        <f t="shared" si="5"/>
        <v>11670.5999947</v>
      </c>
      <c r="C357" s="12">
        <f>0.306583*C316</f>
        <v>2146.4795579</v>
      </c>
      <c r="D357" s="12">
        <f>0.0733554*C316</f>
        <v>513.58316202</v>
      </c>
      <c r="E357" s="12">
        <f>0.536065*E316</f>
        <v>3753.1518845</v>
      </c>
      <c r="F357" s="12">
        <f>0.7509156*F316</f>
        <v>5257.38539028</v>
      </c>
    </row>
    <row r="358" spans="1:6" ht="12.75">
      <c r="A358" s="153" t="s">
        <v>37</v>
      </c>
      <c r="B358" s="167">
        <f t="shared" si="5"/>
        <v>15077.68322124</v>
      </c>
      <c r="C358" s="12">
        <f>0.70476*C316</f>
        <v>4934.236188000001</v>
      </c>
      <c r="D358" s="12">
        <f>0.3731258*C316</f>
        <v>2612.3656635400002</v>
      </c>
      <c r="E358" s="12">
        <f>0.553205*E316</f>
        <v>3873.1541664999995</v>
      </c>
      <c r="F358" s="12">
        <f>0.522464*F316</f>
        <v>3657.9272032000003</v>
      </c>
    </row>
    <row r="359" spans="1:6" ht="12.75">
      <c r="A359" s="153" t="s">
        <v>20</v>
      </c>
      <c r="B359" s="167">
        <f t="shared" si="5"/>
        <v>5575.331226400001</v>
      </c>
      <c r="C359" s="12"/>
      <c r="D359" s="12">
        <f>0.158142*C316</f>
        <v>1107.1995846</v>
      </c>
      <c r="E359" s="12">
        <f>0.60489*E316</f>
        <v>4235.016357</v>
      </c>
      <c r="F359" s="12">
        <f>0.033296*F316</f>
        <v>233.1152848</v>
      </c>
    </row>
    <row r="360" spans="1:6" ht="12.75">
      <c r="A360" s="156" t="s">
        <v>11</v>
      </c>
      <c r="B360" s="166">
        <f>SUM(B356:B359)</f>
        <v>38209.13826524</v>
      </c>
      <c r="C360" s="166">
        <f>SUM(C356:C359)</f>
        <v>8611.662011700002</v>
      </c>
      <c r="D360" s="166">
        <f>SUM(D356:D359)</f>
        <v>5706.628005560001</v>
      </c>
      <c r="E360" s="166">
        <f>SUM(E356:E359)</f>
        <v>13032.226821299999</v>
      </c>
      <c r="F360" s="166">
        <f>SUM(F356:F359)</f>
        <v>10858.621426680002</v>
      </c>
    </row>
    <row r="361" spans="1:6" ht="12.75">
      <c r="A361" s="153" t="s">
        <v>101</v>
      </c>
      <c r="B361" s="167">
        <f t="shared" si="5"/>
        <v>8626.6817568</v>
      </c>
      <c r="C361" s="157">
        <f>0.644*C316</f>
        <v>4508.8372</v>
      </c>
      <c r="D361" s="157">
        <v>388</v>
      </c>
      <c r="E361" s="12">
        <f>0.10264*E316</f>
        <v>718.613432</v>
      </c>
      <c r="F361" s="12">
        <f>0.430096*F316</f>
        <v>3011.2311248</v>
      </c>
    </row>
    <row r="362" spans="1:6" ht="34.5" customHeight="1">
      <c r="A362" s="161" t="s">
        <v>21</v>
      </c>
      <c r="B362" s="166">
        <f t="shared" si="5"/>
        <v>939924.31259174</v>
      </c>
      <c r="C362" s="157">
        <f>C332+C354+C360+C361</f>
        <v>186713.09808170004</v>
      </c>
      <c r="D362" s="157">
        <f>D332+D354+D360+D361</f>
        <v>198666.06515555998</v>
      </c>
      <c r="E362" s="157">
        <f>E332+E354+E360+E361</f>
        <v>269785.1915033</v>
      </c>
      <c r="F362" s="157">
        <f>F332+F354+F360+F361</f>
        <v>284759.95785118</v>
      </c>
    </row>
    <row r="363" spans="1:6" ht="30.75" customHeight="1">
      <c r="A363" s="161" t="s">
        <v>22</v>
      </c>
      <c r="B363" s="162">
        <f>B362/12/C316</f>
        <v>11.18749747179976</v>
      </c>
      <c r="C363" s="14">
        <f>C362/C316/3</f>
        <v>8.889449010978915</v>
      </c>
      <c r="D363" s="14">
        <f>D362/3/C316</f>
        <v>9.458532232373985</v>
      </c>
      <c r="E363" s="14">
        <f>E362/3/C316</f>
        <v>12.844528468679624</v>
      </c>
      <c r="F363" s="14">
        <f>F362/3/C316</f>
        <v>13.557480175166516</v>
      </c>
    </row>
    <row r="364" spans="1:6" ht="12.75">
      <c r="A364" s="163" t="s">
        <v>34</v>
      </c>
      <c r="B364" s="164">
        <f>B319-B362</f>
        <v>-59546.86259174009</v>
      </c>
      <c r="C364" s="165">
        <f>C319-C362</f>
        <v>31520.761918299948</v>
      </c>
      <c r="D364" s="165">
        <f>D319-D362+C364</f>
        <v>33742.856762739975</v>
      </c>
      <c r="E364" s="165">
        <f>E319-E362+D364</f>
        <v>-975.224740560021</v>
      </c>
      <c r="F364" s="165">
        <f>F319-F362-974</f>
        <v>-59545.637851179985</v>
      </c>
    </row>
    <row r="365" spans="1:6" ht="12.75">
      <c r="A365" s="29" t="s">
        <v>44</v>
      </c>
      <c r="B365" s="29"/>
      <c r="C365" s="29"/>
      <c r="D365" s="29"/>
      <c r="E365" s="29"/>
      <c r="F365" s="29"/>
    </row>
    <row r="366" spans="1:6" ht="12.75">
      <c r="A366" s="29" t="s">
        <v>45</v>
      </c>
      <c r="B366" s="29"/>
      <c r="C366" s="29"/>
      <c r="D366" s="29"/>
      <c r="E366" s="29"/>
      <c r="F366" s="29"/>
    </row>
    <row r="367" spans="1:6" ht="12.75">
      <c r="A367" s="29" t="s">
        <v>579</v>
      </c>
      <c r="B367" s="29"/>
      <c r="C367" s="29"/>
      <c r="D367" s="29"/>
      <c r="E367" s="29"/>
      <c r="F367" s="29"/>
    </row>
    <row r="368" spans="1:6" ht="3.75" customHeight="1">
      <c r="A368" s="29"/>
      <c r="B368" s="29"/>
      <c r="C368" s="29"/>
      <c r="D368" s="29"/>
      <c r="E368" s="29"/>
      <c r="F368" s="29"/>
    </row>
    <row r="369" spans="1:6" ht="12.75">
      <c r="A369" s="120" t="s">
        <v>35</v>
      </c>
      <c r="B369" s="120"/>
      <c r="C369" s="29"/>
      <c r="D369" s="29"/>
      <c r="E369" s="29"/>
      <c r="F369" s="29"/>
    </row>
    <row r="370" spans="1:6" ht="12.75">
      <c r="A370" s="29" t="s">
        <v>616</v>
      </c>
      <c r="B370" s="29"/>
      <c r="C370" s="29"/>
      <c r="D370" s="29"/>
      <c r="E370" s="29"/>
      <c r="F370" s="29"/>
    </row>
    <row r="371" spans="1:6" ht="12.75">
      <c r="A371" s="29" t="s">
        <v>589</v>
      </c>
      <c r="B371" s="29"/>
      <c r="C371" s="29"/>
      <c r="D371" s="29"/>
      <c r="E371" s="29" t="s">
        <v>340</v>
      </c>
      <c r="F371" s="29"/>
    </row>
    <row r="372" spans="1:6" ht="12.75">
      <c r="A372" s="10" t="s">
        <v>1</v>
      </c>
      <c r="B372" s="10" t="s">
        <v>11</v>
      </c>
      <c r="C372" s="10" t="s">
        <v>90</v>
      </c>
      <c r="D372" s="10" t="s">
        <v>87</v>
      </c>
      <c r="E372" s="10" t="s">
        <v>123</v>
      </c>
      <c r="F372" s="10" t="s">
        <v>141</v>
      </c>
    </row>
    <row r="373" spans="1:6" ht="12.75">
      <c r="A373" s="22" t="s">
        <v>6</v>
      </c>
      <c r="B373" s="22"/>
      <c r="C373" s="10"/>
      <c r="D373" s="5"/>
      <c r="E373" s="5"/>
      <c r="F373" s="5"/>
    </row>
    <row r="374" spans="1:6" ht="12.75">
      <c r="A374" s="5" t="s">
        <v>2</v>
      </c>
      <c r="B374" s="5"/>
      <c r="C374" s="10">
        <v>5</v>
      </c>
      <c r="D374" s="5"/>
      <c r="E374" s="5"/>
      <c r="F374" s="5"/>
    </row>
    <row r="375" spans="1:6" ht="12.75">
      <c r="A375" s="5" t="s">
        <v>3</v>
      </c>
      <c r="B375" s="5"/>
      <c r="C375" s="10">
        <v>6</v>
      </c>
      <c r="D375" s="5"/>
      <c r="E375" s="5"/>
      <c r="F375" s="5"/>
    </row>
    <row r="376" spans="1:6" ht="12.75">
      <c r="A376" s="5" t="s">
        <v>4</v>
      </c>
      <c r="B376" s="5"/>
      <c r="C376" s="10">
        <v>60</v>
      </c>
      <c r="D376" s="5"/>
      <c r="E376" s="5"/>
      <c r="F376" s="5"/>
    </row>
    <row r="377" spans="1:6" ht="12.75">
      <c r="A377" s="5" t="s">
        <v>5</v>
      </c>
      <c r="B377" s="10">
        <v>3606.62</v>
      </c>
      <c r="C377" s="10">
        <v>3606.62</v>
      </c>
      <c r="D377" s="10">
        <v>3606.62</v>
      </c>
      <c r="E377" s="10">
        <v>3606.62</v>
      </c>
      <c r="F377" s="10">
        <v>3606.62</v>
      </c>
    </row>
    <row r="378" spans="1:6" ht="24">
      <c r="A378" s="150" t="s">
        <v>7</v>
      </c>
      <c r="B378" s="150"/>
      <c r="C378" s="5" t="s">
        <v>36</v>
      </c>
      <c r="D378" s="5"/>
      <c r="E378" s="5"/>
      <c r="F378" s="5"/>
    </row>
    <row r="379" spans="1:6" ht="24">
      <c r="A379" s="151" t="s">
        <v>8</v>
      </c>
      <c r="B379" s="6">
        <f>C379+D379+E379+F379</f>
        <v>407502.7</v>
      </c>
      <c r="C379" s="10">
        <v>92159.88</v>
      </c>
      <c r="D379" s="5">
        <v>205321.02</v>
      </c>
      <c r="E379" s="5">
        <v>100148.74</v>
      </c>
      <c r="F379" s="5">
        <v>9873.06</v>
      </c>
    </row>
    <row r="380" spans="1:6" ht="12.75">
      <c r="A380" s="5" t="s">
        <v>11</v>
      </c>
      <c r="B380" s="6">
        <f>B379</f>
        <v>407502.7</v>
      </c>
      <c r="C380" s="6">
        <f>C379</f>
        <v>92159.88</v>
      </c>
      <c r="D380" s="6">
        <f>D379</f>
        <v>205321.02</v>
      </c>
      <c r="E380" s="6">
        <f>E379</f>
        <v>100148.74</v>
      </c>
      <c r="F380" s="6">
        <f>F379</f>
        <v>9873.06</v>
      </c>
    </row>
    <row r="381" spans="1:6" ht="24">
      <c r="A381" s="150" t="s">
        <v>12</v>
      </c>
      <c r="B381" s="150"/>
      <c r="C381" s="5"/>
      <c r="D381" s="5"/>
      <c r="E381" s="5"/>
      <c r="F381" s="5"/>
    </row>
    <row r="382" spans="1:7" ht="12.75">
      <c r="A382" s="156" t="s">
        <v>13</v>
      </c>
      <c r="B382" s="166">
        <f>C382+D382+E382+F382</f>
        <v>113886.12793478</v>
      </c>
      <c r="C382" s="157">
        <f>7.5947*C377</f>
        <v>27391.196913999996</v>
      </c>
      <c r="D382" s="157">
        <f>7.632*C377</f>
        <v>27525.72384</v>
      </c>
      <c r="E382" s="157">
        <f>8.5526*E377</f>
        <v>30845.978211999998</v>
      </c>
      <c r="F382" s="157">
        <f>7.797669*F377</f>
        <v>28123.22896878</v>
      </c>
      <c r="G382" s="8"/>
    </row>
    <row r="383" spans="1:6" ht="21">
      <c r="A383" s="156" t="s">
        <v>14</v>
      </c>
      <c r="B383" s="167">
        <f aca="true" t="shared" si="6" ref="B383:B418">C383+D383+E383+F383</f>
        <v>0</v>
      </c>
      <c r="C383" s="12"/>
      <c r="D383" s="5"/>
      <c r="E383" s="12"/>
      <c r="F383" s="12"/>
    </row>
    <row r="384" spans="1:6" ht="12.75">
      <c r="A384" s="153" t="s">
        <v>15</v>
      </c>
      <c r="B384" s="167">
        <f>B385+B387+B388+B389+B390</f>
        <v>134282.77</v>
      </c>
      <c r="C384" s="167">
        <f>C385+C387+C388+C389+C390</f>
        <v>29368.89</v>
      </c>
      <c r="D384" s="167">
        <f>D385+D387+D388+D389+D390</f>
        <v>32393.34</v>
      </c>
      <c r="E384" s="167">
        <f>E385+E387+E388+E389+E390</f>
        <v>41122.84</v>
      </c>
      <c r="F384" s="167">
        <f>F385+F387+F388+F389+F390</f>
        <v>31397.7</v>
      </c>
    </row>
    <row r="385" spans="1:6" ht="12.75">
      <c r="A385" s="158" t="s">
        <v>16</v>
      </c>
      <c r="B385" s="167">
        <f t="shared" si="6"/>
        <v>121466</v>
      </c>
      <c r="C385" s="165">
        <v>29157</v>
      </c>
      <c r="D385" s="12">
        <v>27569</v>
      </c>
      <c r="E385" s="12">
        <v>34052</v>
      </c>
      <c r="F385" s="12">
        <v>30688</v>
      </c>
    </row>
    <row r="386" spans="1:6" ht="12.75">
      <c r="A386" s="153" t="s">
        <v>33</v>
      </c>
      <c r="B386" s="167">
        <f t="shared" si="6"/>
        <v>79246.26</v>
      </c>
      <c r="C386" s="165">
        <v>17310.64</v>
      </c>
      <c r="D386" s="12">
        <v>18739.62</v>
      </c>
      <c r="E386" s="12">
        <v>21598</v>
      </c>
      <c r="F386" s="12">
        <v>21598</v>
      </c>
    </row>
    <row r="387" spans="1:6" ht="12.75">
      <c r="A387" s="153" t="s">
        <v>24</v>
      </c>
      <c r="B387" s="167">
        <f t="shared" si="6"/>
        <v>2112.87</v>
      </c>
      <c r="C387" s="12">
        <v>211.89</v>
      </c>
      <c r="D387" s="12">
        <v>508.94</v>
      </c>
      <c r="E387" s="12">
        <v>682.34</v>
      </c>
      <c r="F387" s="12">
        <v>709.7</v>
      </c>
    </row>
    <row r="388" spans="1:6" ht="12.75">
      <c r="A388" s="153" t="s">
        <v>97</v>
      </c>
      <c r="B388" s="167">
        <f t="shared" si="6"/>
        <v>392.4</v>
      </c>
      <c r="C388" s="12"/>
      <c r="D388" s="12">
        <v>392.4</v>
      </c>
      <c r="E388" s="12"/>
      <c r="F388" s="12"/>
    </row>
    <row r="389" spans="1:6" ht="12.75">
      <c r="A389" s="153" t="s">
        <v>362</v>
      </c>
      <c r="B389" s="167">
        <f t="shared" si="6"/>
        <v>8030</v>
      </c>
      <c r="C389" s="12"/>
      <c r="D389" s="12">
        <v>2156</v>
      </c>
      <c r="E389" s="12">
        <v>5874</v>
      </c>
      <c r="F389" s="12"/>
    </row>
    <row r="390" spans="1:6" ht="12.75">
      <c r="A390" s="153" t="s">
        <v>363</v>
      </c>
      <c r="B390" s="167">
        <f t="shared" si="6"/>
        <v>2281.5</v>
      </c>
      <c r="C390" s="12"/>
      <c r="D390" s="10">
        <v>1767</v>
      </c>
      <c r="E390" s="12">
        <v>514.5</v>
      </c>
      <c r="F390" s="12"/>
    </row>
    <row r="391" spans="1:6" ht="12.75">
      <c r="A391" s="155" t="s">
        <v>11</v>
      </c>
      <c r="B391" s="166">
        <f>B382+B384</f>
        <v>248168.89793478</v>
      </c>
      <c r="C391" s="166">
        <f>C382+C384</f>
        <v>56760.086914</v>
      </c>
      <c r="D391" s="166">
        <f>D382+D384</f>
        <v>59919.06384</v>
      </c>
      <c r="E391" s="166">
        <f>E382+E384</f>
        <v>71968.818212</v>
      </c>
      <c r="F391" s="166">
        <f>F382+F384</f>
        <v>59520.928968780005</v>
      </c>
    </row>
    <row r="392" spans="1:6" ht="21">
      <c r="A392" s="159" t="s">
        <v>18</v>
      </c>
      <c r="B392" s="167">
        <f t="shared" si="6"/>
        <v>0</v>
      </c>
      <c r="C392" s="12"/>
      <c r="D392" s="5"/>
      <c r="E392" s="12"/>
      <c r="F392" s="12"/>
    </row>
    <row r="393" spans="1:6" ht="12.75">
      <c r="A393" s="153" t="s">
        <v>23</v>
      </c>
      <c r="B393" s="167">
        <f t="shared" si="6"/>
        <v>88444.06027399999</v>
      </c>
      <c r="C393" s="165">
        <f>5.3352*C377</f>
        <v>19242.039024</v>
      </c>
      <c r="D393" s="12">
        <f>6.1735*C377</f>
        <v>22265.468569999997</v>
      </c>
      <c r="E393" s="12">
        <f>6.4099*E377</f>
        <v>23118.073538</v>
      </c>
      <c r="F393" s="12">
        <f>6.6041*F377</f>
        <v>23818.479142</v>
      </c>
    </row>
    <row r="394" spans="1:6" ht="12.75">
      <c r="A394" s="153" t="s">
        <v>98</v>
      </c>
      <c r="B394" s="167">
        <f t="shared" si="6"/>
        <v>0</v>
      </c>
      <c r="C394" s="12"/>
      <c r="D394" s="10"/>
      <c r="E394" s="12"/>
      <c r="F394" s="12"/>
    </row>
    <row r="395" spans="1:6" ht="12.75">
      <c r="A395" s="153" t="s">
        <v>366</v>
      </c>
      <c r="B395" s="167">
        <f t="shared" si="6"/>
        <v>308800</v>
      </c>
      <c r="C395" s="12"/>
      <c r="D395" s="10"/>
      <c r="E395" s="12">
        <v>308800</v>
      </c>
      <c r="F395" s="12"/>
    </row>
    <row r="396" spans="1:6" ht="12.75">
      <c r="A396" s="153" t="s">
        <v>30</v>
      </c>
      <c r="B396" s="167">
        <f t="shared" si="6"/>
        <v>47721.2</v>
      </c>
      <c r="C396" s="12">
        <v>26009.2</v>
      </c>
      <c r="D396" s="10">
        <v>6817</v>
      </c>
      <c r="E396" s="12">
        <v>5460</v>
      </c>
      <c r="F396" s="12">
        <v>9435</v>
      </c>
    </row>
    <row r="397" spans="1:6" ht="12.75">
      <c r="A397" s="153" t="s">
        <v>28</v>
      </c>
      <c r="B397" s="167">
        <f t="shared" si="6"/>
        <v>5937.5</v>
      </c>
      <c r="C397" s="12">
        <v>853.5</v>
      </c>
      <c r="D397" s="10">
        <v>843</v>
      </c>
      <c r="E397" s="12">
        <v>3880</v>
      </c>
      <c r="F397" s="12">
        <v>361</v>
      </c>
    </row>
    <row r="398" spans="1:6" ht="12.75">
      <c r="A398" s="153" t="s">
        <v>41</v>
      </c>
      <c r="B398" s="167">
        <f t="shared" si="6"/>
        <v>5249</v>
      </c>
      <c r="C398" s="12"/>
      <c r="D398" s="10">
        <v>3516</v>
      </c>
      <c r="E398" s="12">
        <v>1733</v>
      </c>
      <c r="F398" s="12"/>
    </row>
    <row r="399" spans="1:6" ht="12.75">
      <c r="A399" s="153" t="s">
        <v>50</v>
      </c>
      <c r="B399" s="167">
        <f t="shared" si="6"/>
        <v>7412</v>
      </c>
      <c r="C399" s="12">
        <v>2653</v>
      </c>
      <c r="D399" s="10">
        <v>3555</v>
      </c>
      <c r="E399" s="12"/>
      <c r="F399" s="12">
        <v>1204</v>
      </c>
    </row>
    <row r="400" spans="1:6" ht="12.75">
      <c r="A400" s="153" t="s">
        <v>52</v>
      </c>
      <c r="B400" s="167">
        <f t="shared" si="6"/>
        <v>7591.77</v>
      </c>
      <c r="C400" s="12">
        <v>7352.77</v>
      </c>
      <c r="D400" s="10"/>
      <c r="E400" s="12"/>
      <c r="F400" s="12">
        <v>239</v>
      </c>
    </row>
    <row r="401" spans="1:6" ht="22.5">
      <c r="A401" s="153" t="s">
        <v>225</v>
      </c>
      <c r="B401" s="167">
        <f t="shared" si="6"/>
        <v>516.92</v>
      </c>
      <c r="C401" s="12">
        <v>516.92</v>
      </c>
      <c r="D401" s="10"/>
      <c r="E401" s="12"/>
      <c r="F401" s="12"/>
    </row>
    <row r="402" spans="1:6" ht="12.75">
      <c r="A402" s="153" t="s">
        <v>27</v>
      </c>
      <c r="B402" s="167">
        <f t="shared" si="6"/>
        <v>190</v>
      </c>
      <c r="C402" s="12"/>
      <c r="D402" s="10"/>
      <c r="E402" s="12"/>
      <c r="F402" s="12">
        <v>190</v>
      </c>
    </row>
    <row r="403" spans="1:6" ht="12.75">
      <c r="A403" s="153" t="s">
        <v>231</v>
      </c>
      <c r="B403" s="167">
        <f t="shared" si="6"/>
        <v>3285</v>
      </c>
      <c r="C403" s="12">
        <v>3285</v>
      </c>
      <c r="D403" s="10"/>
      <c r="E403" s="12"/>
      <c r="F403" s="12"/>
    </row>
    <row r="404" spans="1:6" ht="12.75">
      <c r="A404" s="153" t="s">
        <v>47</v>
      </c>
      <c r="B404" s="167">
        <f t="shared" si="6"/>
        <v>480</v>
      </c>
      <c r="C404" s="12">
        <v>480</v>
      </c>
      <c r="D404" s="10"/>
      <c r="E404" s="12"/>
      <c r="F404" s="12"/>
    </row>
    <row r="405" spans="1:6" ht="12.75">
      <c r="A405" s="153" t="s">
        <v>357</v>
      </c>
      <c r="B405" s="167">
        <f t="shared" si="6"/>
        <v>10600</v>
      </c>
      <c r="C405" s="12"/>
      <c r="D405" s="10"/>
      <c r="E405" s="12">
        <v>10600</v>
      </c>
      <c r="F405" s="12"/>
    </row>
    <row r="406" spans="1:6" ht="12.75">
      <c r="A406" s="153" t="s">
        <v>453</v>
      </c>
      <c r="B406" s="167">
        <f t="shared" si="6"/>
        <v>907</v>
      </c>
      <c r="C406" s="12"/>
      <c r="D406" s="10"/>
      <c r="E406" s="12"/>
      <c r="F406" s="12">
        <v>907</v>
      </c>
    </row>
    <row r="407" spans="1:6" ht="12.75">
      <c r="A407" s="153" t="s">
        <v>257</v>
      </c>
      <c r="B407" s="167">
        <f t="shared" si="6"/>
        <v>186796</v>
      </c>
      <c r="C407" s="12"/>
      <c r="D407" s="10">
        <v>186796</v>
      </c>
      <c r="E407" s="12"/>
      <c r="F407" s="12"/>
    </row>
    <row r="408" spans="1:6" ht="12.75">
      <c r="A408" s="153" t="s">
        <v>145</v>
      </c>
      <c r="B408" s="167">
        <f t="shared" si="6"/>
        <v>0</v>
      </c>
      <c r="C408" s="12"/>
      <c r="D408" s="10"/>
      <c r="E408" s="12"/>
      <c r="F408" s="12"/>
    </row>
    <row r="409" spans="1:6" ht="12.75">
      <c r="A409" s="155" t="s">
        <v>11</v>
      </c>
      <c r="B409" s="166">
        <f t="shared" si="6"/>
        <v>673930.450274</v>
      </c>
      <c r="C409" s="157">
        <f>SUM(C393:C406)</f>
        <v>60392.429024</v>
      </c>
      <c r="D409" s="157">
        <f>SUM(D393:D408)</f>
        <v>223792.46857</v>
      </c>
      <c r="E409" s="157">
        <f>SUM(E393:E408)</f>
        <v>353591.073538</v>
      </c>
      <c r="F409" s="157">
        <f>SUM(F393:F408)</f>
        <v>36154.479142</v>
      </c>
    </row>
    <row r="410" spans="1:6" ht="12.75">
      <c r="A410" s="155" t="s">
        <v>19</v>
      </c>
      <c r="B410" s="167">
        <f t="shared" si="6"/>
        <v>0</v>
      </c>
      <c r="C410" s="12"/>
      <c r="D410" s="5"/>
      <c r="E410" s="12"/>
      <c r="F410" s="12"/>
    </row>
    <row r="411" spans="1:6" ht="12.75">
      <c r="A411" s="153" t="s">
        <v>38</v>
      </c>
      <c r="B411" s="167">
        <f t="shared" si="6"/>
        <v>3031.8437904599996</v>
      </c>
      <c r="C411" s="12">
        <f>0.218666*C377</f>
        <v>788.64516892</v>
      </c>
      <c r="D411" s="12">
        <f>0.210458*C377</f>
        <v>759.04203196</v>
      </c>
      <c r="E411" s="12">
        <f>0.167241*E377</f>
        <v>603.1747354199999</v>
      </c>
      <c r="F411" s="12">
        <f>0.244268*F377</f>
        <v>880.98185416</v>
      </c>
    </row>
    <row r="412" spans="1:6" ht="12.75">
      <c r="A412" s="153" t="s">
        <v>39</v>
      </c>
      <c r="B412" s="167">
        <f t="shared" si="6"/>
        <v>6011.94340378</v>
      </c>
      <c r="C412" s="12">
        <f>0.306583*C377</f>
        <v>1105.72837946</v>
      </c>
      <c r="D412" s="12">
        <f>0.0733554*C377</f>
        <v>264.56505274799997</v>
      </c>
      <c r="E412" s="12">
        <f>0.536065*E377</f>
        <v>1933.3827503</v>
      </c>
      <c r="F412" s="12">
        <f>0.7509156*F377</f>
        <v>2708.267221272</v>
      </c>
    </row>
    <row r="413" spans="1:6" ht="12.75">
      <c r="A413" s="153" t="s">
        <v>32</v>
      </c>
      <c r="B413" s="167">
        <f t="shared" si="6"/>
        <v>0</v>
      </c>
      <c r="C413" s="12"/>
      <c r="D413" s="12"/>
      <c r="E413" s="12"/>
      <c r="F413" s="12"/>
    </row>
    <row r="414" spans="1:6" ht="12.75">
      <c r="A414" s="153" t="s">
        <v>37</v>
      </c>
      <c r="B414" s="167">
        <f t="shared" si="6"/>
        <v>7767.053812776</v>
      </c>
      <c r="C414" s="12">
        <f>0.70476*C377</f>
        <v>2541.8015112000003</v>
      </c>
      <c r="D414" s="12">
        <f>0.3731258*C377</f>
        <v>1345.722972796</v>
      </c>
      <c r="E414" s="12">
        <f>0.553205*E377</f>
        <v>1995.2002170999997</v>
      </c>
      <c r="F414" s="12">
        <f>0.522464*F377</f>
        <v>1884.32911168</v>
      </c>
    </row>
    <row r="415" spans="1:6" ht="12.75">
      <c r="A415" s="153" t="s">
        <v>20</v>
      </c>
      <c r="B415" s="167">
        <f t="shared" si="6"/>
        <v>2872.0524913599997</v>
      </c>
      <c r="C415" s="12"/>
      <c r="D415" s="12">
        <f>0.158142*C377</f>
        <v>570.35810004</v>
      </c>
      <c r="E415" s="12">
        <f>0.60489*E377</f>
        <v>2181.6083718</v>
      </c>
      <c r="F415" s="12">
        <f>0.033296*F377</f>
        <v>120.08601952</v>
      </c>
    </row>
    <row r="416" spans="1:6" ht="12.75">
      <c r="A416" s="156" t="s">
        <v>11</v>
      </c>
      <c r="B416" s="166">
        <f t="shared" si="6"/>
        <v>19682.893498375997</v>
      </c>
      <c r="C416" s="157">
        <f>C411+C412+C413+C414+C415</f>
        <v>4436.17505958</v>
      </c>
      <c r="D416" s="157">
        <f>SUM(D411:D415)</f>
        <v>2939.688157544</v>
      </c>
      <c r="E416" s="157">
        <f>SUM(E411:E415)</f>
        <v>6713.366074619999</v>
      </c>
      <c r="F416" s="157">
        <f>SUM(F411:F415)</f>
        <v>5593.664206632</v>
      </c>
    </row>
    <row r="417" spans="1:6" ht="12.75">
      <c r="A417" s="153" t="s">
        <v>101</v>
      </c>
      <c r="B417" s="167">
        <f t="shared" si="6"/>
        <v>2353.64264032</v>
      </c>
      <c r="C417" s="157">
        <f>0.0644*C377</f>
        <v>232.266328</v>
      </c>
      <c r="D417" s="157">
        <v>200</v>
      </c>
      <c r="E417" s="12">
        <f>0.10264*E377</f>
        <v>370.1834768</v>
      </c>
      <c r="F417" s="12">
        <f>0.430096*F377</f>
        <v>1551.1928355199998</v>
      </c>
    </row>
    <row r="418" spans="1:6" ht="33.75">
      <c r="A418" s="161" t="s">
        <v>21</v>
      </c>
      <c r="B418" s="166">
        <f t="shared" si="6"/>
        <v>944135.884347476</v>
      </c>
      <c r="C418" s="157">
        <f>C391+C409+C416+C417</f>
        <v>121820.95732557999</v>
      </c>
      <c r="D418" s="157">
        <f>D391+D409+D416+D417</f>
        <v>286851.220567544</v>
      </c>
      <c r="E418" s="157">
        <f>E391+E409+E416+E417</f>
        <v>432643.44130142</v>
      </c>
      <c r="F418" s="157">
        <f>F391+F409+F416+F417</f>
        <v>102820.265152932</v>
      </c>
    </row>
    <row r="419" spans="1:6" ht="33.75">
      <c r="A419" s="161" t="s">
        <v>22</v>
      </c>
      <c r="B419" s="162">
        <f>B418/12/B377</f>
        <v>21.814882178407945</v>
      </c>
      <c r="C419" s="172">
        <f>C418/C377/3</f>
        <v>11.259014194784406</v>
      </c>
      <c r="D419" s="14">
        <f>D418/3/C377</f>
        <v>26.511546412573175</v>
      </c>
      <c r="E419" s="14">
        <f>E418/3/C377</f>
        <v>39.986047998903864</v>
      </c>
      <c r="F419" s="14">
        <f>F418/3/C377</f>
        <v>9.502920107370336</v>
      </c>
    </row>
    <row r="420" spans="1:6" ht="12.75">
      <c r="A420" s="163" t="s">
        <v>34</v>
      </c>
      <c r="B420" s="164">
        <f>B380-B418</f>
        <v>-536633.1843474759</v>
      </c>
      <c r="C420" s="165">
        <f>C380-C418</f>
        <v>-29661.077325579987</v>
      </c>
      <c r="D420" s="165">
        <f>D380-D418-29661</f>
        <v>-111191.200567544</v>
      </c>
      <c r="E420" s="165">
        <f>E380-E418-111191</f>
        <v>-443685.70130142</v>
      </c>
      <c r="F420" s="165">
        <f>F380-F418-443686</f>
        <v>-536633.205152932</v>
      </c>
    </row>
    <row r="421" spans="1:6" ht="12.75">
      <c r="A421" s="29" t="s">
        <v>44</v>
      </c>
      <c r="B421" s="29"/>
      <c r="C421" s="29"/>
      <c r="D421" s="29"/>
      <c r="E421" s="29"/>
      <c r="F421" s="29"/>
    </row>
    <row r="422" spans="1:6" ht="12.75">
      <c r="A422" s="29" t="s">
        <v>45</v>
      </c>
      <c r="B422" s="29"/>
      <c r="C422" s="29"/>
      <c r="D422" s="29"/>
      <c r="E422" s="29"/>
      <c r="F422" s="29"/>
    </row>
    <row r="423" spans="1:6" ht="12.75">
      <c r="A423" s="29" t="s">
        <v>579</v>
      </c>
      <c r="B423" s="29"/>
      <c r="C423" s="29"/>
      <c r="D423" s="29"/>
      <c r="E423" s="29"/>
      <c r="F423" s="29"/>
    </row>
    <row r="424" spans="1:6" ht="15.75" customHeight="1">
      <c r="A424" s="29"/>
      <c r="B424" s="29"/>
      <c r="C424" s="29"/>
      <c r="D424" s="29"/>
      <c r="E424" s="29"/>
      <c r="F424" s="29"/>
    </row>
    <row r="425" spans="1:6" ht="12.75">
      <c r="A425" s="120" t="s">
        <v>35</v>
      </c>
      <c r="B425" s="120"/>
      <c r="C425" s="29"/>
      <c r="D425" s="29"/>
      <c r="E425" s="29"/>
      <c r="F425" s="29"/>
    </row>
    <row r="426" spans="1:6" ht="12.75">
      <c r="A426" s="29" t="s">
        <v>616</v>
      </c>
      <c r="B426" s="29"/>
      <c r="C426" s="29"/>
      <c r="D426" s="29"/>
      <c r="E426" s="29"/>
      <c r="F426" s="29"/>
    </row>
    <row r="427" spans="1:6" ht="12.75">
      <c r="A427" s="29" t="s">
        <v>590</v>
      </c>
      <c r="B427" s="29"/>
      <c r="C427" s="29"/>
      <c r="D427" s="29"/>
      <c r="E427" s="29" t="s">
        <v>340</v>
      </c>
      <c r="F427" s="29"/>
    </row>
    <row r="428" spans="1:6" ht="12.75">
      <c r="A428" s="10" t="s">
        <v>1</v>
      </c>
      <c r="B428" s="10" t="s">
        <v>11</v>
      </c>
      <c r="C428" s="10" t="s">
        <v>90</v>
      </c>
      <c r="D428" s="10" t="s">
        <v>87</v>
      </c>
      <c r="E428" s="5" t="s">
        <v>124</v>
      </c>
      <c r="F428" s="10" t="s">
        <v>141</v>
      </c>
    </row>
    <row r="429" spans="1:6" ht="12.75">
      <c r="A429" s="22" t="s">
        <v>6</v>
      </c>
      <c r="B429" s="22"/>
      <c r="C429" s="10"/>
      <c r="D429" s="5"/>
      <c r="E429" s="5"/>
      <c r="F429" s="5"/>
    </row>
    <row r="430" spans="1:6" ht="10.5" customHeight="1">
      <c r="A430" s="5" t="s">
        <v>2</v>
      </c>
      <c r="B430" s="5"/>
      <c r="C430" s="10">
        <v>5</v>
      </c>
      <c r="D430" s="5"/>
      <c r="E430" s="5"/>
      <c r="F430" s="5"/>
    </row>
    <row r="431" spans="1:6" ht="8.25" customHeight="1">
      <c r="A431" s="5" t="s">
        <v>3</v>
      </c>
      <c r="B431" s="5"/>
      <c r="C431" s="10">
        <v>6</v>
      </c>
      <c r="D431" s="5"/>
      <c r="E431" s="5"/>
      <c r="F431" s="5"/>
    </row>
    <row r="432" spans="1:6" ht="9.75" customHeight="1">
      <c r="A432" s="5" t="s">
        <v>4</v>
      </c>
      <c r="B432" s="5"/>
      <c r="C432" s="10">
        <v>60</v>
      </c>
      <c r="D432" s="5"/>
      <c r="E432" s="5"/>
      <c r="F432" s="5"/>
    </row>
    <row r="433" spans="1:6" ht="12" customHeight="1">
      <c r="A433" s="5" t="s">
        <v>5</v>
      </c>
      <c r="B433" s="10">
        <v>3594.55</v>
      </c>
      <c r="C433" s="10">
        <v>3594.55</v>
      </c>
      <c r="D433" s="10">
        <v>3594.55</v>
      </c>
      <c r="E433" s="10">
        <v>3594.55</v>
      </c>
      <c r="F433" s="10">
        <v>3594.55</v>
      </c>
    </row>
    <row r="434" spans="1:6" ht="24">
      <c r="A434" s="150" t="s">
        <v>7</v>
      </c>
      <c r="B434" s="150"/>
      <c r="C434" s="5" t="s">
        <v>36</v>
      </c>
      <c r="D434" s="5"/>
      <c r="E434" s="5"/>
      <c r="F434" s="5"/>
    </row>
    <row r="435" spans="1:6" ht="20.25" customHeight="1">
      <c r="A435" s="151" t="s">
        <v>8</v>
      </c>
      <c r="B435" s="6">
        <f>C435+D435+E435+F435</f>
        <v>398709.25</v>
      </c>
      <c r="C435" s="10">
        <v>109984.78</v>
      </c>
      <c r="D435" s="5">
        <v>92491.27</v>
      </c>
      <c r="E435" s="10">
        <v>104508.73</v>
      </c>
      <c r="F435" s="5">
        <v>91724.47</v>
      </c>
    </row>
    <row r="436" spans="1:6" ht="22.5">
      <c r="A436" s="153" t="s">
        <v>9</v>
      </c>
      <c r="B436" s="6">
        <f>C436+D436+E436+F436</f>
        <v>5388.32</v>
      </c>
      <c r="C436" s="10">
        <v>1447.58</v>
      </c>
      <c r="D436" s="10">
        <v>981.14</v>
      </c>
      <c r="E436" s="10"/>
      <c r="F436" s="5">
        <v>2959.6</v>
      </c>
    </row>
    <row r="437" spans="1:6" ht="12.75">
      <c r="A437" s="5" t="s">
        <v>11</v>
      </c>
      <c r="B437" s="150">
        <f>B435+B436</f>
        <v>404097.57</v>
      </c>
      <c r="C437" s="150">
        <f>C435+C436</f>
        <v>111432.36</v>
      </c>
      <c r="D437" s="150">
        <f>D435+D436</f>
        <v>93472.41</v>
      </c>
      <c r="E437" s="150">
        <f>E435+E436</f>
        <v>104508.73</v>
      </c>
      <c r="F437" s="150">
        <f>F435+F436</f>
        <v>94684.07</v>
      </c>
    </row>
    <row r="438" spans="1:6" ht="24">
      <c r="A438" s="150" t="s">
        <v>12</v>
      </c>
      <c r="B438" s="150"/>
      <c r="C438" s="5"/>
      <c r="D438" s="5"/>
      <c r="E438" s="5"/>
      <c r="F438" s="5"/>
    </row>
    <row r="439" spans="1:7" ht="12.75">
      <c r="A439" s="156" t="s">
        <v>13</v>
      </c>
      <c r="B439" s="166">
        <f>C439+D439+E439+F439</f>
        <v>113504.99391895</v>
      </c>
      <c r="C439" s="157">
        <f>7.5947*C433</f>
        <v>27299.528885</v>
      </c>
      <c r="D439" s="157">
        <f>7.632*C433</f>
        <v>27433.6056</v>
      </c>
      <c r="E439" s="157">
        <f>8.5526*E433</f>
        <v>30742.748330000002</v>
      </c>
      <c r="F439" s="157">
        <f>7.797669*F433</f>
        <v>28029.111103950003</v>
      </c>
      <c r="G439" s="8"/>
    </row>
    <row r="440" spans="1:6" ht="21">
      <c r="A440" s="156" t="s">
        <v>14</v>
      </c>
      <c r="B440" s="167">
        <f aca="true" t="shared" si="7" ref="B440:B477">C440+D440+E440+F440</f>
        <v>0</v>
      </c>
      <c r="C440" s="12"/>
      <c r="D440" s="12"/>
      <c r="E440" s="12"/>
      <c r="F440" s="12"/>
    </row>
    <row r="441" spans="1:6" ht="12.75">
      <c r="A441" s="153" t="s">
        <v>15</v>
      </c>
      <c r="B441" s="167">
        <f t="shared" si="7"/>
        <v>133754.53</v>
      </c>
      <c r="C441" s="12">
        <f>C442+C444</f>
        <v>29324.51</v>
      </c>
      <c r="D441" s="12">
        <f>D442+D444+D445+D446+D447+D448+D449+D450</f>
        <v>32503.710000000003</v>
      </c>
      <c r="E441" s="12">
        <f>E442+E444+E445+E446+E447+E448+E449+E450</f>
        <v>40510.5</v>
      </c>
      <c r="F441" s="12">
        <f>F442+F444+F445+F446+F447+F448+F449+F450</f>
        <v>31415.81</v>
      </c>
    </row>
    <row r="442" spans="1:6" ht="12.75">
      <c r="A442" s="158" t="s">
        <v>16</v>
      </c>
      <c r="B442" s="166">
        <f t="shared" si="7"/>
        <v>121320</v>
      </c>
      <c r="C442" s="165">
        <v>29113</v>
      </c>
      <c r="D442" s="12">
        <v>27539</v>
      </c>
      <c r="E442" s="12">
        <v>34010</v>
      </c>
      <c r="F442" s="12">
        <v>30658</v>
      </c>
    </row>
    <row r="443" spans="1:6" ht="12.75">
      <c r="A443" s="153" t="s">
        <v>33</v>
      </c>
      <c r="B443" s="167">
        <f t="shared" si="7"/>
        <v>79246.64</v>
      </c>
      <c r="C443" s="165">
        <v>17310.64</v>
      </c>
      <c r="D443" s="12">
        <v>18740</v>
      </c>
      <c r="E443" s="12">
        <v>21598</v>
      </c>
      <c r="F443" s="12">
        <v>21598</v>
      </c>
    </row>
    <row r="444" spans="1:6" ht="12.75">
      <c r="A444" s="153" t="s">
        <v>24</v>
      </c>
      <c r="B444" s="167">
        <f t="shared" si="7"/>
        <v>2107.38</v>
      </c>
      <c r="C444" s="12">
        <v>211.51</v>
      </c>
      <c r="D444" s="12">
        <v>508.06</v>
      </c>
      <c r="E444" s="12">
        <v>680</v>
      </c>
      <c r="F444" s="12">
        <v>707.81</v>
      </c>
    </row>
    <row r="445" spans="1:6" ht="12.75">
      <c r="A445" s="153" t="s">
        <v>17</v>
      </c>
      <c r="B445" s="167">
        <f t="shared" si="7"/>
        <v>0</v>
      </c>
      <c r="C445" s="12"/>
      <c r="D445" s="12"/>
      <c r="E445" s="12"/>
      <c r="F445" s="12"/>
    </row>
    <row r="446" spans="1:6" ht="12.75">
      <c r="A446" s="153" t="s">
        <v>40</v>
      </c>
      <c r="B446" s="167">
        <f t="shared" si="7"/>
        <v>50</v>
      </c>
      <c r="C446" s="12"/>
      <c r="D446" s="12"/>
      <c r="E446" s="12"/>
      <c r="F446" s="12">
        <v>50</v>
      </c>
    </row>
    <row r="447" spans="1:6" ht="12.75">
      <c r="A447" s="153" t="s">
        <v>97</v>
      </c>
      <c r="B447" s="167">
        <f t="shared" si="7"/>
        <v>654.9</v>
      </c>
      <c r="C447" s="12"/>
      <c r="D447" s="12">
        <v>392.4</v>
      </c>
      <c r="E447" s="12">
        <v>262.5</v>
      </c>
      <c r="F447" s="12"/>
    </row>
    <row r="448" spans="1:6" ht="12.75">
      <c r="A448" s="153" t="s">
        <v>364</v>
      </c>
      <c r="B448" s="167">
        <f t="shared" si="7"/>
        <v>7558</v>
      </c>
      <c r="C448" s="12"/>
      <c r="D448" s="12">
        <v>2000</v>
      </c>
      <c r="E448" s="12">
        <v>5558</v>
      </c>
      <c r="F448" s="12"/>
    </row>
    <row r="449" spans="1:6" ht="12.75">
      <c r="A449" s="153" t="s">
        <v>144</v>
      </c>
      <c r="B449" s="167">
        <f t="shared" si="7"/>
        <v>0</v>
      </c>
      <c r="C449" s="12"/>
      <c r="D449" s="12"/>
      <c r="E449" s="12"/>
      <c r="F449" s="12"/>
    </row>
    <row r="450" spans="1:6" ht="12.75">
      <c r="A450" s="153" t="s">
        <v>106</v>
      </c>
      <c r="B450" s="167">
        <f t="shared" si="7"/>
        <v>2064.25</v>
      </c>
      <c r="C450" s="12"/>
      <c r="D450" s="12">
        <v>2064.25</v>
      </c>
      <c r="E450" s="12"/>
      <c r="F450" s="12"/>
    </row>
    <row r="451" spans="1:6" ht="12.75">
      <c r="A451" s="155" t="s">
        <v>11</v>
      </c>
      <c r="B451" s="166">
        <f t="shared" si="7"/>
        <v>247259.52391895</v>
      </c>
      <c r="C451" s="157">
        <f>C439+C441</f>
        <v>56624.038885</v>
      </c>
      <c r="D451" s="157">
        <f>D439+D441</f>
        <v>59937.3156</v>
      </c>
      <c r="E451" s="157">
        <f>E439+E441</f>
        <v>71253.24833</v>
      </c>
      <c r="F451" s="157">
        <f>F439+F441</f>
        <v>59444.92110395001</v>
      </c>
    </row>
    <row r="452" spans="1:6" ht="21">
      <c r="A452" s="159" t="s">
        <v>18</v>
      </c>
      <c r="B452" s="167">
        <f t="shared" si="7"/>
        <v>0</v>
      </c>
      <c r="C452" s="12"/>
      <c r="D452" s="12"/>
      <c r="E452" s="12"/>
      <c r="F452" s="12"/>
    </row>
    <row r="453" spans="1:6" ht="12.75">
      <c r="A453" s="153" t="s">
        <v>23</v>
      </c>
      <c r="B453" s="166">
        <f t="shared" si="7"/>
        <v>88148.07128500001</v>
      </c>
      <c r="C453" s="165">
        <f>5.3352*C433</f>
        <v>19177.643160000003</v>
      </c>
      <c r="D453" s="12">
        <f>6.1735*C433</f>
        <v>22190.954425</v>
      </c>
      <c r="E453" s="12">
        <f>6.4099*E433</f>
        <v>23040.706045000003</v>
      </c>
      <c r="F453" s="12">
        <f>6.6041*F433</f>
        <v>23738.767655</v>
      </c>
    </row>
    <row r="454" spans="1:6" ht="12.75">
      <c r="A454" s="153" t="s">
        <v>469</v>
      </c>
      <c r="B454" s="167">
        <f t="shared" si="7"/>
        <v>21552</v>
      </c>
      <c r="C454" s="12">
        <v>9938</v>
      </c>
      <c r="D454" s="12"/>
      <c r="E454" s="12">
        <v>10396</v>
      </c>
      <c r="F454" s="12">
        <v>1218</v>
      </c>
    </row>
    <row r="455" spans="1:6" ht="12.75">
      <c r="A455" s="153" t="s">
        <v>259</v>
      </c>
      <c r="B455" s="167">
        <f t="shared" si="7"/>
        <v>1575</v>
      </c>
      <c r="C455" s="12"/>
      <c r="D455" s="12">
        <v>1575</v>
      </c>
      <c r="E455" s="12"/>
      <c r="F455" s="12"/>
    </row>
    <row r="456" spans="1:7" ht="12.75">
      <c r="A456" s="153" t="s">
        <v>30</v>
      </c>
      <c r="B456" s="167">
        <f t="shared" si="7"/>
        <v>38252</v>
      </c>
      <c r="C456" s="12">
        <v>7324</v>
      </c>
      <c r="D456" s="12">
        <v>11508</v>
      </c>
      <c r="E456" s="12">
        <v>7359</v>
      </c>
      <c r="F456" s="30">
        <v>12061</v>
      </c>
      <c r="G456" s="119"/>
    </row>
    <row r="457" spans="1:6" ht="12.75">
      <c r="A457" s="153" t="s">
        <v>28</v>
      </c>
      <c r="B457" s="167">
        <f t="shared" si="7"/>
        <v>4384</v>
      </c>
      <c r="C457" s="12">
        <v>539</v>
      </c>
      <c r="D457" s="12"/>
      <c r="E457" s="12">
        <v>3224</v>
      </c>
      <c r="F457" s="12">
        <v>621</v>
      </c>
    </row>
    <row r="458" spans="1:6" ht="12.75">
      <c r="A458" s="153" t="s">
        <v>41</v>
      </c>
      <c r="B458" s="167">
        <f t="shared" si="7"/>
        <v>5865</v>
      </c>
      <c r="C458" s="12">
        <v>1710</v>
      </c>
      <c r="D458" s="12"/>
      <c r="E458" s="12">
        <v>4155</v>
      </c>
      <c r="F458" s="12"/>
    </row>
    <row r="459" spans="1:6" ht="12.75">
      <c r="A459" s="153" t="s">
        <v>50</v>
      </c>
      <c r="B459" s="167">
        <f t="shared" si="7"/>
        <v>3350</v>
      </c>
      <c r="C459" s="12"/>
      <c r="D459" s="12">
        <v>3350</v>
      </c>
      <c r="E459" s="12"/>
      <c r="F459" s="12"/>
    </row>
    <row r="460" spans="1:6" ht="12.75">
      <c r="A460" s="153" t="s">
        <v>52</v>
      </c>
      <c r="B460" s="167">
        <f t="shared" si="7"/>
        <v>11139.5</v>
      </c>
      <c r="C460" s="12">
        <v>10447.5</v>
      </c>
      <c r="D460" s="12"/>
      <c r="E460" s="12"/>
      <c r="F460" s="12">
        <v>692</v>
      </c>
    </row>
    <row r="461" spans="1:6" ht="12.75">
      <c r="A461" s="153" t="s">
        <v>357</v>
      </c>
      <c r="B461" s="167">
        <f t="shared" si="7"/>
        <v>10000</v>
      </c>
      <c r="C461" s="12"/>
      <c r="D461" s="12"/>
      <c r="E461" s="12">
        <v>10000</v>
      </c>
      <c r="F461" s="12"/>
    </row>
    <row r="462" spans="1:6" ht="12.75">
      <c r="A462" s="153" t="s">
        <v>27</v>
      </c>
      <c r="B462" s="167">
        <f t="shared" si="7"/>
        <v>190</v>
      </c>
      <c r="C462" s="12"/>
      <c r="D462" s="12"/>
      <c r="E462" s="12"/>
      <c r="F462" s="12">
        <v>190</v>
      </c>
    </row>
    <row r="463" spans="1:6" ht="12.75">
      <c r="A463" s="153" t="s">
        <v>365</v>
      </c>
      <c r="B463" s="167">
        <f t="shared" si="7"/>
        <v>2225</v>
      </c>
      <c r="C463" s="12"/>
      <c r="D463" s="12"/>
      <c r="E463" s="12">
        <v>2225</v>
      </c>
      <c r="F463" s="12"/>
    </row>
    <row r="464" spans="1:6" ht="12.75">
      <c r="A464" s="153" t="s">
        <v>47</v>
      </c>
      <c r="B464" s="167">
        <f t="shared" si="7"/>
        <v>549</v>
      </c>
      <c r="C464" s="12"/>
      <c r="D464" s="12">
        <v>100</v>
      </c>
      <c r="E464" s="12">
        <v>449</v>
      </c>
      <c r="F464" s="12"/>
    </row>
    <row r="465" spans="1:6" ht="22.5">
      <c r="A465" s="153" t="s">
        <v>225</v>
      </c>
      <c r="B465" s="167">
        <f t="shared" si="7"/>
        <v>515.05</v>
      </c>
      <c r="C465" s="12">
        <v>515.05</v>
      </c>
      <c r="D465" s="12"/>
      <c r="E465" s="12"/>
      <c r="F465" s="12"/>
    </row>
    <row r="466" spans="1:6" ht="12.75">
      <c r="A466" s="153" t="s">
        <v>453</v>
      </c>
      <c r="B466" s="167">
        <f t="shared" si="7"/>
        <v>904</v>
      </c>
      <c r="C466" s="12"/>
      <c r="D466" s="12"/>
      <c r="E466" s="12"/>
      <c r="F466" s="12">
        <v>904</v>
      </c>
    </row>
    <row r="467" spans="1:6" ht="12.75">
      <c r="A467" s="153" t="s">
        <v>468</v>
      </c>
      <c r="B467" s="167">
        <f t="shared" si="7"/>
        <v>41.25</v>
      </c>
      <c r="C467" s="12"/>
      <c r="D467" s="12"/>
      <c r="E467" s="12"/>
      <c r="F467" s="12">
        <v>41.25</v>
      </c>
    </row>
    <row r="468" spans="1:6" ht="12.75">
      <c r="A468" s="153" t="s">
        <v>258</v>
      </c>
      <c r="B468" s="167">
        <f t="shared" si="7"/>
        <v>340</v>
      </c>
      <c r="C468" s="12"/>
      <c r="D468" s="12">
        <v>340</v>
      </c>
      <c r="E468" s="12"/>
      <c r="F468" s="12"/>
    </row>
    <row r="469" spans="1:6" ht="12.75">
      <c r="A469" s="155" t="s">
        <v>11</v>
      </c>
      <c r="B469" s="166">
        <f t="shared" si="7"/>
        <v>189029.87128500003</v>
      </c>
      <c r="C469" s="157">
        <f>SUM(C453:C468)</f>
        <v>49651.19316000001</v>
      </c>
      <c r="D469" s="157">
        <f>SUM(D453:D468)</f>
        <v>39063.954425</v>
      </c>
      <c r="E469" s="157">
        <f>SUM(E453:E468)</f>
        <v>60848.706045</v>
      </c>
      <c r="F469" s="157">
        <f>SUM(F453:F468)</f>
        <v>39466.017655</v>
      </c>
    </row>
    <row r="470" spans="1:6" ht="8.25" customHeight="1">
      <c r="A470" s="155" t="s">
        <v>19</v>
      </c>
      <c r="B470" s="167">
        <f t="shared" si="7"/>
        <v>0</v>
      </c>
      <c r="C470" s="12"/>
      <c r="D470" s="12"/>
      <c r="E470" s="12"/>
      <c r="F470" s="12"/>
    </row>
    <row r="471" spans="1:6" ht="12.75">
      <c r="A471" s="153" t="s">
        <v>38</v>
      </c>
      <c r="B471" s="167">
        <f t="shared" si="7"/>
        <v>5353.704078340001</v>
      </c>
      <c r="C471" s="12">
        <f>0.70476*C433</f>
        <v>2533.295058</v>
      </c>
      <c r="D471" s="12">
        <f>0.3731258*C433</f>
        <v>1341.21934439</v>
      </c>
      <c r="E471" s="12">
        <f>0.167241*E433</f>
        <v>601.15613655</v>
      </c>
      <c r="F471" s="12">
        <f>0.244268*F433</f>
        <v>878.0335394000001</v>
      </c>
    </row>
    <row r="472" spans="1:6" ht="12.75">
      <c r="A472" s="153" t="s">
        <v>39</v>
      </c>
      <c r="B472" s="167">
        <f t="shared" si="7"/>
        <v>5991.82369145</v>
      </c>
      <c r="C472" s="12">
        <f>0.306583*C433</f>
        <v>1102.02792265</v>
      </c>
      <c r="D472" s="12">
        <f>0.0733554*C433</f>
        <v>263.67965307000003</v>
      </c>
      <c r="E472" s="12">
        <f>0.536065*E433</f>
        <v>1926.9124457500002</v>
      </c>
      <c r="F472" s="12">
        <f>0.7509156*F433</f>
        <v>2699.20366998</v>
      </c>
    </row>
    <row r="473" spans="1:6" ht="12.75">
      <c r="A473" s="153" t="s">
        <v>37</v>
      </c>
      <c r="B473" s="167">
        <f t="shared" si="7"/>
        <v>7741.060406340001</v>
      </c>
      <c r="C473" s="12">
        <f>0.70476*C433</f>
        <v>2533.295058</v>
      </c>
      <c r="D473" s="12">
        <f>0.3731258*C433</f>
        <v>1341.21934439</v>
      </c>
      <c r="E473" s="12">
        <f>0.553205*E433</f>
        <v>1988.5230327499999</v>
      </c>
      <c r="F473" s="12">
        <f>0.522464*F433</f>
        <v>1878.0229712000003</v>
      </c>
    </row>
    <row r="474" spans="1:6" ht="12.75">
      <c r="A474" s="153" t="s">
        <v>20</v>
      </c>
      <c r="B474" s="167">
        <f t="shared" si="7"/>
        <v>2862.4408124000006</v>
      </c>
      <c r="C474" s="12"/>
      <c r="D474" s="12">
        <f>0.158142*C433</f>
        <v>568.4493261</v>
      </c>
      <c r="E474" s="12">
        <f>0.60489*E433</f>
        <v>2174.3073495000003</v>
      </c>
      <c r="F474" s="12">
        <f>0.033296*F433</f>
        <v>119.6841368</v>
      </c>
    </row>
    <row r="475" spans="1:6" ht="12.75">
      <c r="A475" s="156" t="s">
        <v>11</v>
      </c>
      <c r="B475" s="166">
        <f>SUM(B471:B474)</f>
        <v>21949.028988530004</v>
      </c>
      <c r="C475" s="166">
        <f>SUM(C471:C474)</f>
        <v>6168.61803865</v>
      </c>
      <c r="D475" s="166">
        <f>SUM(D471:D474)</f>
        <v>3514.56766795</v>
      </c>
      <c r="E475" s="166">
        <f>SUM(E471:E474)</f>
        <v>6690.8989645500005</v>
      </c>
      <c r="F475" s="166">
        <f>SUM(F471:F474)</f>
        <v>5574.94431738</v>
      </c>
    </row>
    <row r="476" spans="1:6" ht="12.75">
      <c r="A476" s="153" t="s">
        <v>101</v>
      </c>
      <c r="B476" s="167">
        <f t="shared" si="7"/>
        <v>2345.4352088</v>
      </c>
      <c r="C476" s="157">
        <f>0.0644*C433</f>
        <v>231.48902</v>
      </c>
      <c r="D476" s="157">
        <v>199</v>
      </c>
      <c r="E476" s="12">
        <f>0.10264*E433</f>
        <v>368.944612</v>
      </c>
      <c r="F476" s="157">
        <f>0.430096*F433</f>
        <v>1546.0015768</v>
      </c>
    </row>
    <row r="477" spans="1:6" ht="33.75">
      <c r="A477" s="161" t="s">
        <v>21</v>
      </c>
      <c r="B477" s="166">
        <f t="shared" si="7"/>
        <v>460583.85940128</v>
      </c>
      <c r="C477" s="157">
        <f>C451+C469+C475+C476</f>
        <v>112675.33910365001</v>
      </c>
      <c r="D477" s="157">
        <f>D451+D469+D475+D476</f>
        <v>102714.83769295001</v>
      </c>
      <c r="E477" s="157">
        <f>E451+E469+E475+E476</f>
        <v>139161.79795155</v>
      </c>
      <c r="F477" s="157">
        <f>F451+F469+F475+F476</f>
        <v>106031.88465313001</v>
      </c>
    </row>
    <row r="478" spans="1:6" ht="38.25" customHeight="1">
      <c r="A478" s="161" t="s">
        <v>22</v>
      </c>
      <c r="B478" s="162">
        <f>B477/12/C433</f>
        <v>10.677828457926582</v>
      </c>
      <c r="C478" s="14">
        <f>C477/C433/3</f>
        <v>10.448719969922058</v>
      </c>
      <c r="D478" s="14">
        <f>D477/3/C433</f>
        <v>9.525052991607666</v>
      </c>
      <c r="E478" s="14">
        <f>E477/3/C433</f>
        <v>12.904888229082916</v>
      </c>
      <c r="F478" s="14">
        <f>F477/3/C433</f>
        <v>9.832652641093693</v>
      </c>
    </row>
    <row r="479" spans="1:6" ht="12.75">
      <c r="A479" s="163" t="s">
        <v>34</v>
      </c>
      <c r="B479" s="164">
        <f>B437-B477</f>
        <v>-56486.289401279995</v>
      </c>
      <c r="C479" s="165">
        <f>C437-C477</f>
        <v>-1242.97910365001</v>
      </c>
      <c r="D479" s="165">
        <f>D437-D477-1243</f>
        <v>-10485.427692950005</v>
      </c>
      <c r="E479" s="165">
        <f>E437-E477-10485</f>
        <v>-45138.067951549994</v>
      </c>
      <c r="F479" s="165">
        <f>F437-F477-39600</f>
        <v>-50947.81465313</v>
      </c>
    </row>
    <row r="480" spans="1:6" ht="12.75">
      <c r="A480" s="29" t="s">
        <v>44</v>
      </c>
      <c r="B480" s="29"/>
      <c r="C480" s="29"/>
      <c r="D480" s="29"/>
      <c r="E480" s="29"/>
      <c r="F480" s="29"/>
    </row>
    <row r="481" spans="1:6" ht="12.75">
      <c r="A481" s="29" t="s">
        <v>45</v>
      </c>
      <c r="B481" s="29"/>
      <c r="C481" s="29"/>
      <c r="D481" s="29"/>
      <c r="E481" s="29"/>
      <c r="F481" s="29"/>
    </row>
    <row r="482" spans="1:6" ht="12.75">
      <c r="A482" s="29" t="s">
        <v>579</v>
      </c>
      <c r="B482" s="29"/>
      <c r="C482" s="29"/>
      <c r="D482" s="29"/>
      <c r="E482" s="29"/>
      <c r="F482" s="29"/>
    </row>
    <row r="483" spans="1:6" ht="3.75" customHeight="1">
      <c r="A483" s="29"/>
      <c r="B483" s="29"/>
      <c r="C483" s="29"/>
      <c r="D483" s="29"/>
      <c r="E483" s="29"/>
      <c r="F483" s="29"/>
    </row>
    <row r="484" spans="1:6" ht="12.75">
      <c r="A484" s="120" t="s">
        <v>35</v>
      </c>
      <c r="B484" s="120"/>
      <c r="C484" s="29"/>
      <c r="D484" s="29"/>
      <c r="E484" s="29"/>
      <c r="F484" s="29"/>
    </row>
    <row r="485" spans="1:6" ht="12.75">
      <c r="A485" s="29" t="s">
        <v>616</v>
      </c>
      <c r="B485" s="29"/>
      <c r="C485" s="29"/>
      <c r="D485" s="29"/>
      <c r="E485" s="29"/>
      <c r="F485" s="29"/>
    </row>
    <row r="486" spans="1:6" ht="12.75">
      <c r="A486" s="29" t="s">
        <v>591</v>
      </c>
      <c r="B486" s="29"/>
      <c r="C486" s="29"/>
      <c r="D486" s="29"/>
      <c r="E486" s="29" t="s">
        <v>340</v>
      </c>
      <c r="F486" s="29"/>
    </row>
    <row r="487" spans="1:6" ht="12.75">
      <c r="A487" s="10" t="s">
        <v>1</v>
      </c>
      <c r="B487" s="10" t="s">
        <v>11</v>
      </c>
      <c r="C487" s="10" t="s">
        <v>86</v>
      </c>
      <c r="D487" s="10" t="s">
        <v>87</v>
      </c>
      <c r="E487" s="10" t="s">
        <v>120</v>
      </c>
      <c r="F487" s="10" t="s">
        <v>141</v>
      </c>
    </row>
    <row r="488" spans="1:6" ht="12.75">
      <c r="A488" s="22" t="s">
        <v>6</v>
      </c>
      <c r="B488" s="22"/>
      <c r="C488" s="10"/>
      <c r="D488" s="5"/>
      <c r="E488" s="5"/>
      <c r="F488" s="5"/>
    </row>
    <row r="489" spans="1:6" ht="12.75">
      <c r="A489" s="5" t="s">
        <v>2</v>
      </c>
      <c r="B489" s="5"/>
      <c r="C489" s="10">
        <v>4</v>
      </c>
      <c r="D489" s="5"/>
      <c r="E489" s="5"/>
      <c r="F489" s="5"/>
    </row>
    <row r="490" spans="1:6" ht="12.75">
      <c r="A490" s="5" t="s">
        <v>3</v>
      </c>
      <c r="B490" s="5"/>
      <c r="C490" s="10">
        <v>6</v>
      </c>
      <c r="D490" s="5"/>
      <c r="E490" s="5"/>
      <c r="F490" s="5"/>
    </row>
    <row r="491" spans="1:6" ht="12.75">
      <c r="A491" s="5" t="s">
        <v>4</v>
      </c>
      <c r="B491" s="5"/>
      <c r="C491" s="10">
        <v>48</v>
      </c>
      <c r="D491" s="5"/>
      <c r="E491" s="5"/>
      <c r="F491" s="5"/>
    </row>
    <row r="492" spans="1:6" ht="12.75">
      <c r="A492" s="5" t="s">
        <v>5</v>
      </c>
      <c r="B492" s="5"/>
      <c r="C492" s="10">
        <v>3239.7</v>
      </c>
      <c r="D492" s="5"/>
      <c r="E492" s="5"/>
      <c r="F492" s="5"/>
    </row>
    <row r="493" spans="1:6" ht="24">
      <c r="A493" s="150" t="s">
        <v>7</v>
      </c>
      <c r="B493" s="150"/>
      <c r="C493" s="5" t="s">
        <v>36</v>
      </c>
      <c r="D493" s="5"/>
      <c r="E493" s="5"/>
      <c r="F493" s="5"/>
    </row>
    <row r="494" spans="1:6" ht="24">
      <c r="A494" s="151" t="s">
        <v>8</v>
      </c>
      <c r="B494" s="6">
        <f>C494+D494+E494+F494</f>
        <v>214176.15000000002</v>
      </c>
      <c r="C494" s="10">
        <v>84624.16</v>
      </c>
      <c r="D494" s="10">
        <v>95293.96</v>
      </c>
      <c r="E494" s="5">
        <v>31779.14</v>
      </c>
      <c r="F494" s="10">
        <v>2478.89</v>
      </c>
    </row>
    <row r="495" spans="1:6" ht="22.5">
      <c r="A495" s="153" t="s">
        <v>9</v>
      </c>
      <c r="B495" s="6">
        <f>C495+D495+E495+F495</f>
        <v>9099.48</v>
      </c>
      <c r="C495" s="10">
        <v>9099.48</v>
      </c>
      <c r="D495" s="10">
        <v>0</v>
      </c>
      <c r="E495" s="173">
        <v>0</v>
      </c>
      <c r="F495" s="10"/>
    </row>
    <row r="496" spans="1:6" ht="12.75">
      <c r="A496" s="153" t="s">
        <v>10</v>
      </c>
      <c r="B496" s="6">
        <f>C496+D496+E496+F496</f>
        <v>10500</v>
      </c>
      <c r="C496" s="10">
        <v>6300</v>
      </c>
      <c r="D496" s="10">
        <v>4200</v>
      </c>
      <c r="E496" s="5"/>
      <c r="F496" s="10"/>
    </row>
    <row r="497" spans="1:6" ht="12.75">
      <c r="A497" s="5" t="s">
        <v>11</v>
      </c>
      <c r="B497" s="150">
        <f>C497+D497+E497+F497</f>
        <v>233775.63</v>
      </c>
      <c r="C497" s="22">
        <f>C494+C495+C496</f>
        <v>100023.64</v>
      </c>
      <c r="D497" s="22">
        <f>D494+D495+D496</f>
        <v>99493.96</v>
      </c>
      <c r="E497" s="155">
        <f>SUM(E494:E496)</f>
        <v>31779.14</v>
      </c>
      <c r="F497" s="22">
        <f>F494+F495+F496</f>
        <v>2478.89</v>
      </c>
    </row>
    <row r="498" spans="1:6" ht="24">
      <c r="A498" s="150" t="s">
        <v>12</v>
      </c>
      <c r="B498" s="150"/>
      <c r="C498" s="5"/>
      <c r="D498" s="5"/>
      <c r="E498" s="5"/>
      <c r="F498" s="5"/>
    </row>
    <row r="499" spans="1:7" ht="12.75">
      <c r="A499" s="156" t="s">
        <v>13</v>
      </c>
      <c r="B499" s="166">
        <f>C499+D499+E499+F499</f>
        <v>49329.93999</v>
      </c>
      <c r="C499" s="157">
        <f>7.5947*C492</f>
        <v>24604.54959</v>
      </c>
      <c r="D499" s="157">
        <f>7.632*C492</f>
        <v>24725.390399999997</v>
      </c>
      <c r="E499" s="157"/>
      <c r="F499" s="157"/>
      <c r="G499" s="8"/>
    </row>
    <row r="500" spans="1:6" ht="21">
      <c r="A500" s="156" t="s">
        <v>14</v>
      </c>
      <c r="B500" s="167">
        <f aca="true" t="shared" si="8" ref="B500:B533">C500+D500+E500+F500</f>
        <v>0</v>
      </c>
      <c r="C500" s="12"/>
      <c r="D500" s="12"/>
      <c r="E500" s="12"/>
      <c r="F500" s="10"/>
    </row>
    <row r="501" spans="1:6" ht="12.75">
      <c r="A501" s="153" t="s">
        <v>15</v>
      </c>
      <c r="B501" s="167">
        <f t="shared" si="8"/>
        <v>63887.37</v>
      </c>
      <c r="C501" s="157">
        <f>C502+C504</f>
        <v>30054.85</v>
      </c>
      <c r="D501" s="157">
        <f>D502+D504+D505+D506+D507+D508+D509+D510</f>
        <v>33832.520000000004</v>
      </c>
      <c r="E501" s="157"/>
      <c r="F501" s="12"/>
    </row>
    <row r="502" spans="1:6" ht="12.75">
      <c r="A502" s="158" t="s">
        <v>16</v>
      </c>
      <c r="B502" s="167">
        <f t="shared" si="8"/>
        <v>58314</v>
      </c>
      <c r="C502" s="165">
        <v>29872</v>
      </c>
      <c r="D502" s="12">
        <v>28442</v>
      </c>
      <c r="E502" s="12"/>
      <c r="F502" s="12"/>
    </row>
    <row r="503" spans="1:6" ht="12.75">
      <c r="A503" s="153" t="s">
        <v>33</v>
      </c>
      <c r="B503" s="167">
        <f t="shared" si="8"/>
        <v>39745.16</v>
      </c>
      <c r="C503" s="165">
        <v>19234</v>
      </c>
      <c r="D503" s="12">
        <v>20511.16</v>
      </c>
      <c r="E503" s="12"/>
      <c r="F503" s="12"/>
    </row>
    <row r="504" spans="1:6" ht="12.75">
      <c r="A504" s="153" t="s">
        <v>24</v>
      </c>
      <c r="B504" s="167">
        <f t="shared" si="8"/>
        <v>621.22</v>
      </c>
      <c r="C504" s="12">
        <v>182.85</v>
      </c>
      <c r="D504" s="12">
        <v>438.37</v>
      </c>
      <c r="E504" s="12"/>
      <c r="F504" s="12"/>
    </row>
    <row r="505" spans="1:6" ht="12.75">
      <c r="A505" s="153" t="s">
        <v>17</v>
      </c>
      <c r="B505" s="167">
        <f t="shared" si="8"/>
        <v>0</v>
      </c>
      <c r="C505" s="12"/>
      <c r="D505" s="12"/>
      <c r="E505" s="12"/>
      <c r="F505" s="12"/>
    </row>
    <row r="506" spans="1:6" ht="12.75">
      <c r="A506" s="153" t="s">
        <v>40</v>
      </c>
      <c r="B506" s="167">
        <f t="shared" si="8"/>
        <v>550</v>
      </c>
      <c r="C506" s="12"/>
      <c r="D506" s="12">
        <v>550</v>
      </c>
      <c r="E506" s="12"/>
      <c r="F506" s="12"/>
    </row>
    <row r="507" spans="1:6" ht="12.75">
      <c r="A507" s="153" t="s">
        <v>88</v>
      </c>
      <c r="B507" s="167">
        <f t="shared" si="8"/>
        <v>392.4</v>
      </c>
      <c r="C507" s="12"/>
      <c r="D507" s="12">
        <v>392.4</v>
      </c>
      <c r="E507" s="12"/>
      <c r="F507" s="12"/>
    </row>
    <row r="508" spans="1:6" ht="12.75">
      <c r="A508" s="153" t="s">
        <v>89</v>
      </c>
      <c r="B508" s="167">
        <f t="shared" si="8"/>
        <v>0</v>
      </c>
      <c r="C508" s="12"/>
      <c r="D508" s="12"/>
      <c r="E508" s="12"/>
      <c r="F508" s="12"/>
    </row>
    <row r="509" spans="1:6" ht="12.75">
      <c r="A509" s="153" t="s">
        <v>261</v>
      </c>
      <c r="B509" s="167">
        <f t="shared" si="8"/>
        <v>2187</v>
      </c>
      <c r="C509" s="12"/>
      <c r="D509" s="12">
        <v>2187</v>
      </c>
      <c r="E509" s="12"/>
      <c r="F509" s="12"/>
    </row>
    <row r="510" spans="1:6" ht="12.75">
      <c r="A510" s="153" t="s">
        <v>106</v>
      </c>
      <c r="B510" s="167"/>
      <c r="C510" s="12"/>
      <c r="D510" s="12">
        <v>1822.75</v>
      </c>
      <c r="E510" s="12"/>
      <c r="F510" s="12"/>
    </row>
    <row r="511" spans="1:6" ht="12.75">
      <c r="A511" s="155" t="s">
        <v>11</v>
      </c>
      <c r="B511" s="166">
        <f t="shared" si="8"/>
        <v>113217.30999000001</v>
      </c>
      <c r="C511" s="157">
        <f>C499+C501</f>
        <v>54659.39959</v>
      </c>
      <c r="D511" s="157">
        <f>D499+D501</f>
        <v>58557.9104</v>
      </c>
      <c r="E511" s="157">
        <f>E499+E501</f>
        <v>0</v>
      </c>
      <c r="F511" s="12">
        <f>F499+F501</f>
        <v>0</v>
      </c>
    </row>
    <row r="512" spans="1:6" ht="21">
      <c r="A512" s="159" t="s">
        <v>18</v>
      </c>
      <c r="B512" s="167">
        <f t="shared" si="8"/>
        <v>0</v>
      </c>
      <c r="C512" s="12"/>
      <c r="D512" s="171"/>
      <c r="E512" s="12"/>
      <c r="F512" s="10"/>
    </row>
    <row r="513" spans="1:6" ht="12.75">
      <c r="A513" s="153" t="s">
        <v>23</v>
      </c>
      <c r="B513" s="167">
        <f t="shared" si="8"/>
        <v>37284.73539</v>
      </c>
      <c r="C513" s="165">
        <f>5.3352*C492</f>
        <v>17284.44744</v>
      </c>
      <c r="D513" s="12">
        <f>6.1735*C492</f>
        <v>20000.287949999998</v>
      </c>
      <c r="E513" s="12"/>
      <c r="F513" s="12"/>
    </row>
    <row r="514" spans="1:6" ht="12.75">
      <c r="A514" s="153" t="s">
        <v>100</v>
      </c>
      <c r="B514" s="167">
        <f t="shared" si="8"/>
        <v>0</v>
      </c>
      <c r="C514" s="12"/>
      <c r="D514" s="12"/>
      <c r="E514" s="12"/>
      <c r="F514" s="10"/>
    </row>
    <row r="515" spans="1:6" ht="12.75">
      <c r="A515" s="153" t="s">
        <v>125</v>
      </c>
      <c r="B515" s="167">
        <f t="shared" si="8"/>
        <v>0</v>
      </c>
      <c r="C515" s="12"/>
      <c r="D515" s="12"/>
      <c r="E515" s="12"/>
      <c r="F515" s="10"/>
    </row>
    <row r="516" spans="1:6" ht="12.75">
      <c r="A516" s="153" t="s">
        <v>30</v>
      </c>
      <c r="B516" s="167">
        <f t="shared" si="8"/>
        <v>20730</v>
      </c>
      <c r="C516" s="12">
        <v>1655</v>
      </c>
      <c r="D516" s="12">
        <v>18913</v>
      </c>
      <c r="E516" s="12">
        <v>162</v>
      </c>
      <c r="F516" s="12"/>
    </row>
    <row r="517" spans="1:6" ht="12.75">
      <c r="A517" s="153" t="s">
        <v>28</v>
      </c>
      <c r="B517" s="167">
        <f t="shared" si="8"/>
        <v>0</v>
      </c>
      <c r="C517" s="12"/>
      <c r="D517" s="12"/>
      <c r="E517" s="12"/>
      <c r="F517" s="12"/>
    </row>
    <row r="518" spans="1:6" ht="12.75">
      <c r="A518" s="153" t="s">
        <v>41</v>
      </c>
      <c r="B518" s="167">
        <f t="shared" si="8"/>
        <v>4101</v>
      </c>
      <c r="C518" s="12"/>
      <c r="D518" s="12">
        <v>4101</v>
      </c>
      <c r="E518" s="12"/>
      <c r="F518" s="12"/>
    </row>
    <row r="519" spans="1:6" ht="12.75">
      <c r="A519" s="153" t="s">
        <v>50</v>
      </c>
      <c r="B519" s="167">
        <f t="shared" si="8"/>
        <v>44460</v>
      </c>
      <c r="C519" s="12"/>
      <c r="D519" s="12">
        <v>17770</v>
      </c>
      <c r="E519" s="12">
        <v>26690</v>
      </c>
      <c r="F519" s="12"/>
    </row>
    <row r="520" spans="1:6" ht="12.75">
      <c r="A520" s="153" t="s">
        <v>52</v>
      </c>
      <c r="B520" s="167">
        <f t="shared" si="8"/>
        <v>787.5</v>
      </c>
      <c r="C520" s="12">
        <v>787.5</v>
      </c>
      <c r="D520" s="12"/>
      <c r="E520" s="12"/>
      <c r="F520" s="12"/>
    </row>
    <row r="521" spans="1:6" ht="22.5">
      <c r="A521" s="153" t="s">
        <v>225</v>
      </c>
      <c r="B521" s="167">
        <f t="shared" si="8"/>
        <v>465.19</v>
      </c>
      <c r="C521" s="12">
        <v>465.19</v>
      </c>
      <c r="D521" s="12"/>
      <c r="E521" s="12"/>
      <c r="F521" s="12"/>
    </row>
    <row r="522" spans="1:6" ht="12.75">
      <c r="A522" s="153" t="s">
        <v>27</v>
      </c>
      <c r="B522" s="167">
        <f t="shared" si="8"/>
        <v>142.5</v>
      </c>
      <c r="C522" s="12"/>
      <c r="D522" s="12"/>
      <c r="E522" s="12">
        <v>142.5</v>
      </c>
      <c r="F522" s="12"/>
    </row>
    <row r="523" spans="1:6" ht="12.75">
      <c r="A523" s="153" t="s">
        <v>260</v>
      </c>
      <c r="B523" s="167">
        <f t="shared" si="8"/>
        <v>3400</v>
      </c>
      <c r="C523" s="12"/>
      <c r="D523" s="12">
        <v>3400</v>
      </c>
      <c r="E523" s="12"/>
      <c r="F523" s="10"/>
    </row>
    <row r="524" spans="1:6" ht="12.75">
      <c r="A524" s="155" t="s">
        <v>11</v>
      </c>
      <c r="B524" s="166">
        <f>SUM(B513:B523)</f>
        <v>111370.92539</v>
      </c>
      <c r="C524" s="166">
        <f>SUM(C513:C523)</f>
        <v>20192.13744</v>
      </c>
      <c r="D524" s="166">
        <f>SUM(D513:D523)</f>
        <v>64184.28795</v>
      </c>
      <c r="E524" s="166">
        <f>SUM(E513:E523)</f>
        <v>26994.5</v>
      </c>
      <c r="F524" s="166">
        <f>SUM(F513:F523)</f>
        <v>0</v>
      </c>
    </row>
    <row r="525" spans="1:6" ht="12.75">
      <c r="A525" s="155" t="s">
        <v>19</v>
      </c>
      <c r="B525" s="167">
        <f t="shared" si="8"/>
        <v>0</v>
      </c>
      <c r="C525" s="12"/>
      <c r="D525" s="12"/>
      <c r="E525" s="12"/>
      <c r="F525" s="10"/>
    </row>
    <row r="526" spans="1:6" ht="12.75">
      <c r="A526" s="153" t="s">
        <v>38</v>
      </c>
      <c r="B526" s="167">
        <f t="shared" si="8"/>
        <v>1390.2330228</v>
      </c>
      <c r="C526" s="12">
        <f>0.218666*C492</f>
        <v>708.4122401999999</v>
      </c>
      <c r="D526" s="12">
        <f>0.210458*C492</f>
        <v>681.8207826</v>
      </c>
      <c r="E526" s="12"/>
      <c r="F526" s="12"/>
    </row>
    <row r="527" spans="1:6" ht="12.75">
      <c r="A527" s="153" t="s">
        <v>39</v>
      </c>
      <c r="B527" s="167">
        <f t="shared" si="8"/>
        <v>1230.88643448</v>
      </c>
      <c r="C527" s="12">
        <f>0.306583*C492</f>
        <v>993.2369451</v>
      </c>
      <c r="D527" s="12">
        <f>0.0733554*C492</f>
        <v>237.64948937999998</v>
      </c>
      <c r="E527" s="12"/>
      <c r="F527" s="12"/>
    </row>
    <row r="528" spans="1:6" ht="12.75">
      <c r="A528" s="153" t="s">
        <v>32</v>
      </c>
      <c r="B528" s="167">
        <f t="shared" si="8"/>
        <v>0</v>
      </c>
      <c r="C528" s="12"/>
      <c r="D528" s="12"/>
      <c r="E528" s="12"/>
      <c r="F528" s="10"/>
    </row>
    <row r="529" spans="1:6" ht="12.75">
      <c r="A529" s="153" t="s">
        <v>37</v>
      </c>
      <c r="B529" s="167">
        <f t="shared" si="8"/>
        <v>3492.02662626</v>
      </c>
      <c r="C529" s="12">
        <f>0.70476*C492</f>
        <v>2283.210972</v>
      </c>
      <c r="D529" s="12">
        <f>0.3731258*C492</f>
        <v>1208.81565426</v>
      </c>
      <c r="E529" s="12"/>
      <c r="F529" s="12"/>
    </row>
    <row r="530" spans="1:6" ht="12.75">
      <c r="A530" s="153" t="s">
        <v>20</v>
      </c>
      <c r="B530" s="167">
        <f t="shared" si="8"/>
        <v>2471.9947704</v>
      </c>
      <c r="C530" s="12"/>
      <c r="D530" s="12">
        <f>0.158142*C492</f>
        <v>512.3326374</v>
      </c>
      <c r="E530" s="12">
        <f>0.60489*C492</f>
        <v>1959.662133</v>
      </c>
      <c r="F530" s="12"/>
    </row>
    <row r="531" spans="1:6" ht="12.75">
      <c r="A531" s="156" t="s">
        <v>11</v>
      </c>
      <c r="B531" s="166">
        <f t="shared" si="8"/>
        <v>8585.14085394</v>
      </c>
      <c r="C531" s="157">
        <f>SUM(C526:C530)</f>
        <v>3984.8601572999996</v>
      </c>
      <c r="D531" s="157">
        <f>D526+D527+D528+D529+D530</f>
        <v>2640.6185636399996</v>
      </c>
      <c r="E531" s="157">
        <f>SUM(E526:E530)</f>
        <v>1959.662133</v>
      </c>
      <c r="F531" s="12"/>
    </row>
    <row r="532" spans="1:6" ht="12.75">
      <c r="A532" s="153" t="s">
        <v>101</v>
      </c>
      <c r="B532" s="167">
        <f t="shared" si="8"/>
        <v>388.63667999999996</v>
      </c>
      <c r="C532" s="157">
        <f>0.0644*C492</f>
        <v>208.63667999999998</v>
      </c>
      <c r="D532" s="157">
        <v>180</v>
      </c>
      <c r="E532" s="12"/>
      <c r="F532" s="12"/>
    </row>
    <row r="533" spans="1:6" ht="33.75">
      <c r="A533" s="161" t="s">
        <v>21</v>
      </c>
      <c r="B533" s="166">
        <f t="shared" si="8"/>
        <v>233562.01291394</v>
      </c>
      <c r="C533" s="157">
        <f>C511+C524+C531+C532</f>
        <v>79045.03386730001</v>
      </c>
      <c r="D533" s="157">
        <f>D511+D524+D531+D532</f>
        <v>125562.81691364</v>
      </c>
      <c r="E533" s="157">
        <f>E511+E524+E531+E532</f>
        <v>28954.162133</v>
      </c>
      <c r="F533" s="12">
        <f>F511+F524+F531+F532</f>
        <v>0</v>
      </c>
    </row>
    <row r="534" spans="1:6" ht="33.75">
      <c r="A534" s="161" t="s">
        <v>22</v>
      </c>
      <c r="B534" s="162">
        <f>B533/12/C492</f>
        <v>6.007809697244087</v>
      </c>
      <c r="C534" s="14">
        <f>C533/C492/3</f>
        <v>8.132958182064185</v>
      </c>
      <c r="D534" s="14">
        <f>D533/3/C492</f>
        <v>12.9191814996903</v>
      </c>
      <c r="E534" s="14">
        <f>E533/3/C492</f>
        <v>2.9790991072218627</v>
      </c>
      <c r="F534" s="14">
        <f>F533/3/C492</f>
        <v>0</v>
      </c>
    </row>
    <row r="535" spans="1:6" ht="12.75">
      <c r="A535" s="163" t="s">
        <v>34</v>
      </c>
      <c r="B535" s="164">
        <f>B497-B533</f>
        <v>213.61708605999593</v>
      </c>
      <c r="C535" s="165">
        <f>C497-C533</f>
        <v>20978.60613269999</v>
      </c>
      <c r="D535" s="165">
        <f>D497-D533+C535</f>
        <v>-5090.250780939998</v>
      </c>
      <c r="E535" s="165">
        <f>E497-E533-5089</f>
        <v>-2264.022133000002</v>
      </c>
      <c r="F535" s="165">
        <f>F497-2264</f>
        <v>214.88999999999987</v>
      </c>
    </row>
    <row r="536" spans="1:6" ht="12.75">
      <c r="A536" s="29" t="s">
        <v>44</v>
      </c>
      <c r="B536" s="29"/>
      <c r="C536" s="29"/>
      <c r="D536" s="29"/>
      <c r="E536" s="29"/>
      <c r="F536" s="29"/>
    </row>
    <row r="537" spans="1:6" ht="12.75">
      <c r="A537" s="29" t="s">
        <v>45</v>
      </c>
      <c r="B537" s="29"/>
      <c r="C537" s="29"/>
      <c r="D537" s="29"/>
      <c r="E537" s="29"/>
      <c r="F537" s="29"/>
    </row>
    <row r="538" spans="1:6" ht="12.75">
      <c r="A538" s="29" t="s">
        <v>579</v>
      </c>
      <c r="B538" s="29"/>
      <c r="C538" s="29"/>
      <c r="D538" s="29"/>
      <c r="E538" s="29"/>
      <c r="F538" s="29"/>
    </row>
    <row r="539" spans="1:6" ht="8.25" customHeight="1">
      <c r="A539" s="29"/>
      <c r="B539" s="29"/>
      <c r="C539" s="29"/>
      <c r="D539" s="29"/>
      <c r="E539" s="29"/>
      <c r="F539" s="29"/>
    </row>
    <row r="540" spans="1:6" ht="12.75">
      <c r="A540" s="120" t="s">
        <v>35</v>
      </c>
      <c r="B540" s="120"/>
      <c r="C540" s="29"/>
      <c r="D540" s="29"/>
      <c r="E540" s="29"/>
      <c r="F540" s="29"/>
    </row>
    <row r="541" spans="1:6" ht="12.75">
      <c r="A541" s="29" t="s">
        <v>616</v>
      </c>
      <c r="B541" s="29"/>
      <c r="C541" s="29"/>
      <c r="D541" s="29"/>
      <c r="E541" s="29"/>
      <c r="F541" s="29"/>
    </row>
    <row r="542" spans="1:6" ht="12.75">
      <c r="A542" s="29" t="s">
        <v>592</v>
      </c>
      <c r="B542" s="29"/>
      <c r="C542" s="29"/>
      <c r="D542" s="29"/>
      <c r="E542" s="29" t="s">
        <v>340</v>
      </c>
      <c r="F542" s="29"/>
    </row>
    <row r="543" spans="1:6" ht="0.75" customHeight="1">
      <c r="A543" s="10" t="s">
        <v>1</v>
      </c>
      <c r="B543" s="10" t="s">
        <v>11</v>
      </c>
      <c r="C543" s="10" t="s">
        <v>90</v>
      </c>
      <c r="D543" s="10" t="s">
        <v>87</v>
      </c>
      <c r="E543" s="10" t="s">
        <v>120</v>
      </c>
      <c r="F543" s="10" t="s">
        <v>141</v>
      </c>
    </row>
    <row r="544" spans="1:6" ht="10.5" customHeight="1">
      <c r="A544" s="22" t="s">
        <v>6</v>
      </c>
      <c r="B544" s="22"/>
      <c r="C544" s="10"/>
      <c r="D544" s="5"/>
      <c r="E544" s="5"/>
      <c r="F544" s="5"/>
    </row>
    <row r="545" spans="1:6" ht="10.5" customHeight="1">
      <c r="A545" s="5" t="s">
        <v>2</v>
      </c>
      <c r="B545" s="5"/>
      <c r="C545" s="10">
        <v>5</v>
      </c>
      <c r="D545" s="5"/>
      <c r="E545" s="5"/>
      <c r="F545" s="5"/>
    </row>
    <row r="546" spans="1:6" ht="9.75" customHeight="1">
      <c r="A546" s="5" t="s">
        <v>3</v>
      </c>
      <c r="B546" s="5"/>
      <c r="C546" s="10">
        <v>6</v>
      </c>
      <c r="D546" s="5"/>
      <c r="E546" s="5"/>
      <c r="F546" s="5"/>
    </row>
    <row r="547" spans="1:6" ht="10.5" customHeight="1">
      <c r="A547" s="5" t="s">
        <v>4</v>
      </c>
      <c r="B547" s="5"/>
      <c r="C547" s="10">
        <v>60</v>
      </c>
      <c r="D547" s="5"/>
      <c r="E547" s="5"/>
      <c r="F547" s="5"/>
    </row>
    <row r="548" spans="1:6" ht="10.5" customHeight="1">
      <c r="A548" s="5" t="s">
        <v>5</v>
      </c>
      <c r="B548" s="10">
        <v>3613.83</v>
      </c>
      <c r="C548" s="10">
        <v>3613.83</v>
      </c>
      <c r="D548" s="10">
        <v>3613.83</v>
      </c>
      <c r="E548" s="10">
        <v>3613.83</v>
      </c>
      <c r="F548" s="10">
        <v>3613.83</v>
      </c>
    </row>
    <row r="549" spans="1:6" ht="18.75" customHeight="1">
      <c r="A549" s="150" t="s">
        <v>7</v>
      </c>
      <c r="B549" s="150"/>
      <c r="C549" s="5" t="s">
        <v>36</v>
      </c>
      <c r="D549" s="5"/>
      <c r="E549" s="5"/>
      <c r="F549" s="5"/>
    </row>
    <row r="550" spans="1:6" ht="21" customHeight="1">
      <c r="A550" s="151" t="s">
        <v>8</v>
      </c>
      <c r="B550" s="6">
        <f>C550+D550+E550+F550</f>
        <v>459333.04000000004</v>
      </c>
      <c r="C550" s="10">
        <v>96104.69</v>
      </c>
      <c r="D550" s="10">
        <v>89242.95</v>
      </c>
      <c r="E550" s="10">
        <v>133096.81</v>
      </c>
      <c r="F550" s="5">
        <v>140888.59</v>
      </c>
    </row>
    <row r="551" spans="1:6" ht="12.75">
      <c r="A551" s="5" t="s">
        <v>11</v>
      </c>
      <c r="B551" s="150">
        <f>B550</f>
        <v>459333.04000000004</v>
      </c>
      <c r="C551" s="150">
        <f>C550</f>
        <v>96104.69</v>
      </c>
      <c r="D551" s="150">
        <f>D550</f>
        <v>89242.95</v>
      </c>
      <c r="E551" s="150">
        <f>E550</f>
        <v>133096.81</v>
      </c>
      <c r="F551" s="150">
        <f>F550</f>
        <v>140888.59</v>
      </c>
    </row>
    <row r="552" spans="1:6" ht="20.25" customHeight="1">
      <c r="A552" s="150" t="s">
        <v>12</v>
      </c>
      <c r="B552" s="150"/>
      <c r="C552" s="5"/>
      <c r="D552" s="5"/>
      <c r="E552" s="5"/>
      <c r="F552" s="5"/>
    </row>
    <row r="553" spans="1:7" ht="12.75">
      <c r="A553" s="156" t="s">
        <v>13</v>
      </c>
      <c r="B553" s="166">
        <f>C553+D553+E553+F553</f>
        <v>114113.79788127</v>
      </c>
      <c r="C553" s="157">
        <f>7.5947*C548</f>
        <v>27445.954701</v>
      </c>
      <c r="D553" s="157">
        <f>7.632*C548</f>
        <v>27580.750559999997</v>
      </c>
      <c r="E553" s="157">
        <f>8.5526*E548</f>
        <v>30907.642458</v>
      </c>
      <c r="F553" s="157">
        <f>7.797669*F548</f>
        <v>28179.45016227</v>
      </c>
      <c r="G553" s="8"/>
    </row>
    <row r="554" spans="1:6" ht="18.75" customHeight="1">
      <c r="A554" s="156" t="s">
        <v>14</v>
      </c>
      <c r="B554" s="167">
        <f aca="true" t="shared" si="9" ref="B554:B598">C554+D554+E554+F554</f>
        <v>0</v>
      </c>
      <c r="C554" s="12"/>
      <c r="D554" s="12"/>
      <c r="E554" s="12"/>
      <c r="F554" s="12"/>
    </row>
    <row r="555" spans="1:6" ht="10.5" customHeight="1">
      <c r="A555" s="153" t="s">
        <v>15</v>
      </c>
      <c r="B555" s="167">
        <f>B556+B558+B559+B560+B561+B562+B563+B564+B565+B566</f>
        <v>146567.16999999998</v>
      </c>
      <c r="C555" s="167">
        <f>C556+C558+C559+C560+C561+C562+C563+C564+C565+C566</f>
        <v>32796.09</v>
      </c>
      <c r="D555" s="167">
        <f>D556+D558+D559+D560+D561+D562+D563+D564+D565+D566</f>
        <v>32468.77</v>
      </c>
      <c r="E555" s="167">
        <f>E556+E558+E559+E560+E561+E562+E563+E564+E565+E566</f>
        <v>49677.62</v>
      </c>
      <c r="F555" s="167">
        <f>F556+F558+F559+F560+F561+F562+F563+F564+F565+F566</f>
        <v>31624.69</v>
      </c>
    </row>
    <row r="556" spans="1:6" ht="10.5" customHeight="1">
      <c r="A556" s="158" t="s">
        <v>16</v>
      </c>
      <c r="B556" s="167">
        <f t="shared" si="9"/>
        <v>121836</v>
      </c>
      <c r="C556" s="165">
        <v>29351</v>
      </c>
      <c r="D556" s="12">
        <v>27703</v>
      </c>
      <c r="E556" s="12">
        <v>34076</v>
      </c>
      <c r="F556" s="12">
        <v>30706</v>
      </c>
    </row>
    <row r="557" spans="1:6" ht="11.25" customHeight="1">
      <c r="A557" s="153" t="s">
        <v>33</v>
      </c>
      <c r="B557" s="167">
        <f t="shared" si="9"/>
        <v>79537.49</v>
      </c>
      <c r="C557" s="165">
        <v>17485.49</v>
      </c>
      <c r="D557" s="12">
        <v>18856</v>
      </c>
      <c r="E557" s="12">
        <v>21598</v>
      </c>
      <c r="F557" s="12">
        <v>21598</v>
      </c>
    </row>
    <row r="558" spans="1:6" ht="12.75">
      <c r="A558" s="153" t="s">
        <v>24</v>
      </c>
      <c r="B558" s="167">
        <f t="shared" si="9"/>
        <v>2117.5</v>
      </c>
      <c r="C558" s="12">
        <v>212.19</v>
      </c>
      <c r="D558" s="12">
        <v>509.62</v>
      </c>
      <c r="E558" s="12">
        <v>683</v>
      </c>
      <c r="F558" s="12">
        <v>712.69</v>
      </c>
    </row>
    <row r="559" spans="1:6" ht="12.75">
      <c r="A559" s="153" t="s">
        <v>17</v>
      </c>
      <c r="B559" s="167">
        <f t="shared" si="9"/>
        <v>4212.9</v>
      </c>
      <c r="C559" s="12">
        <v>3232.9</v>
      </c>
      <c r="D559" s="12"/>
      <c r="E559" s="12">
        <v>824</v>
      </c>
      <c r="F559" s="12">
        <v>156</v>
      </c>
    </row>
    <row r="560" spans="1:6" ht="12.75">
      <c r="A560" s="153" t="s">
        <v>40</v>
      </c>
      <c r="B560" s="167">
        <f t="shared" si="9"/>
        <v>450</v>
      </c>
      <c r="C560" s="12"/>
      <c r="D560" s="12">
        <v>400</v>
      </c>
      <c r="E560" s="12"/>
      <c r="F560" s="12">
        <v>50</v>
      </c>
    </row>
    <row r="561" spans="1:6" ht="12.75">
      <c r="A561" s="153" t="s">
        <v>367</v>
      </c>
      <c r="B561" s="167">
        <f t="shared" si="9"/>
        <v>3534</v>
      </c>
      <c r="C561" s="12"/>
      <c r="D561" s="12">
        <v>1641</v>
      </c>
      <c r="E561" s="12">
        <v>1893</v>
      </c>
      <c r="F561" s="12"/>
    </row>
    <row r="562" spans="1:6" ht="12.75">
      <c r="A562" s="153" t="s">
        <v>88</v>
      </c>
      <c r="B562" s="167">
        <f t="shared" si="9"/>
        <v>654.9</v>
      </c>
      <c r="C562" s="12"/>
      <c r="D562" s="12">
        <v>392.4</v>
      </c>
      <c r="E562" s="12">
        <v>262.5</v>
      </c>
      <c r="F562" s="12"/>
    </row>
    <row r="563" spans="1:6" ht="12.75">
      <c r="A563" s="153" t="s">
        <v>344</v>
      </c>
      <c r="B563" s="167">
        <f t="shared" si="9"/>
        <v>1718.62</v>
      </c>
      <c r="C563" s="12"/>
      <c r="D563" s="12"/>
      <c r="E563" s="12">
        <v>1718.62</v>
      </c>
      <c r="F563" s="12"/>
    </row>
    <row r="564" spans="1:6" ht="12.75">
      <c r="A564" s="153" t="s">
        <v>106</v>
      </c>
      <c r="B564" s="167">
        <f t="shared" si="9"/>
        <v>1822.75</v>
      </c>
      <c r="C564" s="12"/>
      <c r="D564" s="12">
        <v>1822.75</v>
      </c>
      <c r="E564" s="12"/>
      <c r="F564" s="12"/>
    </row>
    <row r="565" spans="1:6" ht="12.75">
      <c r="A565" s="153" t="s">
        <v>342</v>
      </c>
      <c r="B565" s="167">
        <f t="shared" si="9"/>
        <v>220.5</v>
      </c>
      <c r="C565" s="12"/>
      <c r="D565" s="12"/>
      <c r="E565" s="12">
        <v>220.5</v>
      </c>
      <c r="F565" s="12"/>
    </row>
    <row r="566" spans="1:6" ht="18.75" customHeight="1">
      <c r="A566" s="153" t="s">
        <v>345</v>
      </c>
      <c r="B566" s="167">
        <f t="shared" si="9"/>
        <v>10000</v>
      </c>
      <c r="C566" s="12"/>
      <c r="D566" s="12"/>
      <c r="E566" s="12">
        <v>10000</v>
      </c>
      <c r="F566" s="12"/>
    </row>
    <row r="567" spans="1:6" ht="12.75">
      <c r="A567" s="153" t="s">
        <v>346</v>
      </c>
      <c r="B567" s="167">
        <f t="shared" si="9"/>
        <v>0</v>
      </c>
      <c r="C567" s="12"/>
      <c r="D567" s="12"/>
      <c r="E567" s="12"/>
      <c r="F567" s="12"/>
    </row>
    <row r="568" spans="1:6" ht="12.75">
      <c r="A568" s="155" t="s">
        <v>11</v>
      </c>
      <c r="B568" s="166">
        <f>B553+B555</f>
        <v>260680.96788127</v>
      </c>
      <c r="C568" s="166">
        <f>C553+C555</f>
        <v>60242.04470099999</v>
      </c>
      <c r="D568" s="166">
        <f>D553+D555</f>
        <v>60049.52056</v>
      </c>
      <c r="E568" s="166">
        <f>E553+E555</f>
        <v>80585.262458</v>
      </c>
      <c r="F568" s="166">
        <f>F553+F555</f>
        <v>59804.14016227</v>
      </c>
    </row>
    <row r="569" spans="1:6" ht="19.5" customHeight="1">
      <c r="A569" s="159" t="s">
        <v>18</v>
      </c>
      <c r="B569" s="167">
        <f t="shared" si="9"/>
        <v>0</v>
      </c>
      <c r="C569" s="12"/>
      <c r="D569" s="12"/>
      <c r="E569" s="12"/>
      <c r="F569" s="12"/>
    </row>
    <row r="570" spans="1:6" ht="12.75">
      <c r="A570" s="153" t="s">
        <v>23</v>
      </c>
      <c r="B570" s="167">
        <f t="shared" si="9"/>
        <v>88620.868941</v>
      </c>
      <c r="C570" s="165">
        <f>5.3352*C548</f>
        <v>19280.505816</v>
      </c>
      <c r="D570" s="12">
        <f>6.1735*C548</f>
        <v>22309.979505</v>
      </c>
      <c r="E570" s="12">
        <f>6.4099*E548</f>
        <v>23164.288917</v>
      </c>
      <c r="F570" s="12">
        <f>6.6041*F548</f>
        <v>23866.094703</v>
      </c>
    </row>
    <row r="571" spans="1:6" ht="12.75">
      <c r="A571" s="153" t="s">
        <v>370</v>
      </c>
      <c r="B571" s="167">
        <f t="shared" si="9"/>
        <v>30926</v>
      </c>
      <c r="C571" s="12"/>
      <c r="D571" s="12">
        <v>7600</v>
      </c>
      <c r="E571" s="157">
        <v>21830</v>
      </c>
      <c r="F571" s="12">
        <v>1496</v>
      </c>
    </row>
    <row r="572" spans="1:6" ht="12.75">
      <c r="A572" s="153" t="s">
        <v>470</v>
      </c>
      <c r="B572" s="167">
        <f t="shared" si="9"/>
        <v>190</v>
      </c>
      <c r="C572" s="12"/>
      <c r="D572" s="12"/>
      <c r="E572" s="12"/>
      <c r="F572" s="12">
        <v>190</v>
      </c>
    </row>
    <row r="573" spans="1:6" ht="12.75">
      <c r="A573" s="153" t="s">
        <v>30</v>
      </c>
      <c r="B573" s="167">
        <f t="shared" si="9"/>
        <v>63052.85</v>
      </c>
      <c r="C573" s="12">
        <v>21598.85</v>
      </c>
      <c r="D573" s="12">
        <v>10298</v>
      </c>
      <c r="E573" s="12">
        <v>28805</v>
      </c>
      <c r="F573" s="12">
        <v>2351</v>
      </c>
    </row>
    <row r="574" spans="1:6" ht="12.75">
      <c r="A574" s="153" t="s">
        <v>28</v>
      </c>
      <c r="B574" s="167">
        <f t="shared" si="9"/>
        <v>2212.5</v>
      </c>
      <c r="C574" s="12">
        <v>869.5</v>
      </c>
      <c r="D574" s="12">
        <v>823</v>
      </c>
      <c r="E574" s="12"/>
      <c r="F574" s="12">
        <v>520</v>
      </c>
    </row>
    <row r="575" spans="1:6" ht="12.75">
      <c r="A575" s="153" t="s">
        <v>41</v>
      </c>
      <c r="B575" s="167">
        <f t="shared" si="9"/>
        <v>4551</v>
      </c>
      <c r="C575" s="12"/>
      <c r="D575" s="12"/>
      <c r="E575" s="12">
        <v>1441</v>
      </c>
      <c r="F575" s="12">
        <v>3110</v>
      </c>
    </row>
    <row r="576" spans="1:6" ht="12.75">
      <c r="A576" s="153" t="s">
        <v>50</v>
      </c>
      <c r="B576" s="167">
        <f t="shared" si="9"/>
        <v>20695.9</v>
      </c>
      <c r="C576" s="12">
        <v>4098.9</v>
      </c>
      <c r="D576" s="12">
        <v>15168</v>
      </c>
      <c r="E576" s="12"/>
      <c r="F576" s="12">
        <v>1429</v>
      </c>
    </row>
    <row r="577" spans="1:6" ht="12.75">
      <c r="A577" s="153" t="s">
        <v>52</v>
      </c>
      <c r="B577" s="167">
        <f t="shared" si="9"/>
        <v>22457.27</v>
      </c>
      <c r="C577" s="12">
        <v>16297.27</v>
      </c>
      <c r="D577" s="12">
        <v>2879</v>
      </c>
      <c r="E577" s="12"/>
      <c r="F577" s="12">
        <v>3281</v>
      </c>
    </row>
    <row r="578" spans="1:6" ht="15" customHeight="1">
      <c r="A578" s="153" t="s">
        <v>225</v>
      </c>
      <c r="B578" s="167">
        <f t="shared" si="9"/>
        <v>517.91</v>
      </c>
      <c r="C578" s="12">
        <v>517.91</v>
      </c>
      <c r="D578" s="12"/>
      <c r="E578" s="12"/>
      <c r="F578" s="12"/>
    </row>
    <row r="579" spans="1:6" ht="12.75">
      <c r="A579" s="153" t="s">
        <v>343</v>
      </c>
      <c r="B579" s="167">
        <f t="shared" si="9"/>
        <v>7990</v>
      </c>
      <c r="C579" s="12"/>
      <c r="D579" s="12"/>
      <c r="E579" s="12">
        <v>7990</v>
      </c>
      <c r="F579" s="12"/>
    </row>
    <row r="580" spans="1:6" ht="12.75">
      <c r="A580" s="153" t="s">
        <v>453</v>
      </c>
      <c r="B580" s="167">
        <f t="shared" si="9"/>
        <v>908</v>
      </c>
      <c r="C580" s="12"/>
      <c r="D580" s="12"/>
      <c r="E580" s="12"/>
      <c r="F580" s="12">
        <v>908</v>
      </c>
    </row>
    <row r="581" spans="1:6" ht="12.75">
      <c r="A581" s="153" t="s">
        <v>46</v>
      </c>
      <c r="B581" s="167">
        <f t="shared" si="9"/>
        <v>1731</v>
      </c>
      <c r="C581" s="12"/>
      <c r="D581" s="12"/>
      <c r="E581" s="12">
        <v>1731</v>
      </c>
      <c r="F581" s="12"/>
    </row>
    <row r="582" spans="1:6" ht="12.75">
      <c r="A582" s="153" t="s">
        <v>47</v>
      </c>
      <c r="B582" s="167">
        <f t="shared" si="9"/>
        <v>130</v>
      </c>
      <c r="C582" s="12"/>
      <c r="D582" s="12"/>
      <c r="E582" s="12"/>
      <c r="F582" s="12">
        <v>130</v>
      </c>
    </row>
    <row r="583" spans="1:6" ht="12.75">
      <c r="A583" s="153" t="s">
        <v>369</v>
      </c>
      <c r="B583" s="167">
        <f t="shared" si="9"/>
        <v>315</v>
      </c>
      <c r="C583" s="12"/>
      <c r="D583" s="12"/>
      <c r="E583" s="12">
        <v>315</v>
      </c>
      <c r="F583" s="12"/>
    </row>
    <row r="584" spans="1:6" ht="12.75">
      <c r="A584" s="153" t="s">
        <v>49</v>
      </c>
      <c r="B584" s="167">
        <f t="shared" si="9"/>
        <v>3046</v>
      </c>
      <c r="C584" s="12">
        <v>3046</v>
      </c>
      <c r="D584" s="12"/>
      <c r="E584" s="12"/>
      <c r="F584" s="12"/>
    </row>
    <row r="585" spans="1:6" ht="12.75">
      <c r="A585" s="153" t="s">
        <v>368</v>
      </c>
      <c r="B585" s="167">
        <f t="shared" si="9"/>
        <v>9350</v>
      </c>
      <c r="C585" s="12"/>
      <c r="D585" s="12"/>
      <c r="E585" s="12">
        <v>9350</v>
      </c>
      <c r="F585" s="12"/>
    </row>
    <row r="586" spans="1:6" ht="12.75" customHeight="1">
      <c r="A586" s="153" t="s">
        <v>570</v>
      </c>
      <c r="B586" s="167">
        <f t="shared" si="9"/>
        <v>1388</v>
      </c>
      <c r="C586" s="12">
        <v>6</v>
      </c>
      <c r="D586" s="12"/>
      <c r="E586" s="12"/>
      <c r="F586" s="30">
        <v>1382</v>
      </c>
    </row>
    <row r="587" spans="1:6" ht="9" customHeight="1">
      <c r="A587" s="153" t="s">
        <v>347</v>
      </c>
      <c r="B587" s="167">
        <f t="shared" si="9"/>
        <v>191007</v>
      </c>
      <c r="C587" s="12"/>
      <c r="D587" s="12"/>
      <c r="E587" s="12"/>
      <c r="F587" s="12">
        <v>191007</v>
      </c>
    </row>
    <row r="588" spans="1:6" ht="12.75">
      <c r="A588" s="153" t="s">
        <v>348</v>
      </c>
      <c r="B588" s="167">
        <f t="shared" si="9"/>
        <v>109391</v>
      </c>
      <c r="C588" s="12"/>
      <c r="D588" s="12"/>
      <c r="E588" s="30">
        <v>109391</v>
      </c>
      <c r="F588" s="12"/>
    </row>
    <row r="589" spans="1:6" ht="10.5" customHeight="1">
      <c r="A589" s="153" t="s">
        <v>471</v>
      </c>
      <c r="B589" s="167">
        <f t="shared" si="9"/>
        <v>3273</v>
      </c>
      <c r="C589" s="12"/>
      <c r="D589" s="12"/>
      <c r="E589" s="30"/>
      <c r="F589" s="12">
        <v>3273</v>
      </c>
    </row>
    <row r="590" spans="1:6" ht="10.5" customHeight="1">
      <c r="A590" s="155" t="s">
        <v>11</v>
      </c>
      <c r="B590" s="166">
        <f t="shared" si="9"/>
        <v>561753.2989409999</v>
      </c>
      <c r="C590" s="157">
        <f>SUM(C570:C586)</f>
        <v>65714.935816</v>
      </c>
      <c r="D590" s="157">
        <f>SUM(D570:D586)</f>
        <v>59077.979504999996</v>
      </c>
      <c r="E590" s="157">
        <f>SUM(E570:E588)</f>
        <v>204017.288917</v>
      </c>
      <c r="F590" s="157">
        <f>SUM(F570:F589)</f>
        <v>232943.09470299998</v>
      </c>
    </row>
    <row r="591" spans="1:6" ht="12.75">
      <c r="A591" s="155" t="s">
        <v>19</v>
      </c>
      <c r="B591" s="167">
        <f t="shared" si="9"/>
        <v>0</v>
      </c>
      <c r="C591" s="12"/>
      <c r="D591" s="12"/>
      <c r="E591" s="12"/>
      <c r="F591" s="12"/>
    </row>
    <row r="592" spans="1:6" ht="11.25" customHeight="1">
      <c r="A592" s="153" t="s">
        <v>38</v>
      </c>
      <c r="B592" s="167">
        <f t="shared" si="9"/>
        <v>3037.90475439</v>
      </c>
      <c r="C592" s="12">
        <f>0.218666*C548</f>
        <v>790.22175078</v>
      </c>
      <c r="D592" s="12">
        <f>0.210458*C548</f>
        <v>760.55943414</v>
      </c>
      <c r="E592" s="12">
        <f>0.167241*E548</f>
        <v>604.38054303</v>
      </c>
      <c r="F592" s="12">
        <f>0.244268*F548</f>
        <v>882.74302644</v>
      </c>
    </row>
    <row r="593" spans="1:6" ht="12" customHeight="1">
      <c r="A593" s="153" t="s">
        <v>39</v>
      </c>
      <c r="B593" s="167">
        <f t="shared" si="9"/>
        <v>6023.96188977</v>
      </c>
      <c r="C593" s="12">
        <f>0.306583*C548</f>
        <v>1107.93884289</v>
      </c>
      <c r="D593" s="12">
        <f>0.0733554*C548</f>
        <v>265.093945182</v>
      </c>
      <c r="E593" s="12">
        <f>0.536065*E548</f>
        <v>1937.24777895</v>
      </c>
      <c r="F593" s="12">
        <f>0.7509156*F548</f>
        <v>2713.681322748</v>
      </c>
    </row>
    <row r="594" spans="1:6" ht="10.5" customHeight="1">
      <c r="A594" s="153" t="s">
        <v>37</v>
      </c>
      <c r="B594" s="167">
        <f t="shared" si="9"/>
        <v>7782.580942883999</v>
      </c>
      <c r="C594" s="12">
        <f>0.70476*C548</f>
        <v>2546.8828308</v>
      </c>
      <c r="D594" s="12">
        <f>0.3731258*C548</f>
        <v>1348.413209814</v>
      </c>
      <c r="E594" s="12">
        <f>0.553205*E548</f>
        <v>1999.1888251499997</v>
      </c>
      <c r="F594" s="12">
        <f>0.522464*F548</f>
        <v>1888.09607712</v>
      </c>
    </row>
    <row r="595" spans="1:6" ht="9.75" customHeight="1">
      <c r="A595" s="153" t="s">
        <v>20</v>
      </c>
      <c r="B595" s="167">
        <f t="shared" si="9"/>
        <v>2877.79401624</v>
      </c>
      <c r="C595" s="12"/>
      <c r="D595" s="12">
        <f>0.158142*C548</f>
        <v>571.49830386</v>
      </c>
      <c r="E595" s="12">
        <f>0.60489*E548</f>
        <v>2185.9696287</v>
      </c>
      <c r="F595" s="12">
        <f>0.033296*F548</f>
        <v>120.32608368</v>
      </c>
    </row>
    <row r="596" spans="1:6" ht="10.5" customHeight="1">
      <c r="A596" s="156" t="s">
        <v>11</v>
      </c>
      <c r="B596" s="166">
        <f>B592+B593+B594+B595</f>
        <v>19722.241603284</v>
      </c>
      <c r="C596" s="166">
        <f>C592+C593+C594+C595</f>
        <v>4445.04342447</v>
      </c>
      <c r="D596" s="166">
        <f>D592+D593+D594+D595</f>
        <v>2945.5648929960003</v>
      </c>
      <c r="E596" s="166">
        <f>E592+E593+E594+E595</f>
        <v>6726.78677583</v>
      </c>
      <c r="F596" s="166">
        <f>F592+F593+F594+F595</f>
        <v>5604.846509988</v>
      </c>
    </row>
    <row r="597" spans="1:6" ht="10.5" customHeight="1">
      <c r="A597" s="153" t="s">
        <v>101</v>
      </c>
      <c r="B597" s="167">
        <f t="shared" si="9"/>
        <v>2357.9479908799995</v>
      </c>
      <c r="C597" s="157">
        <f>0.0644*C548</f>
        <v>232.730652</v>
      </c>
      <c r="D597" s="157">
        <v>200</v>
      </c>
      <c r="E597" s="12">
        <f>0.10264*E548</f>
        <v>370.92351119999995</v>
      </c>
      <c r="F597" s="12">
        <f>0.430096*F548</f>
        <v>1554.2938276799998</v>
      </c>
    </row>
    <row r="598" spans="1:6" ht="31.5" customHeight="1">
      <c r="A598" s="161" t="s">
        <v>21</v>
      </c>
      <c r="B598" s="166">
        <f t="shared" si="9"/>
        <v>844514.4564164339</v>
      </c>
      <c r="C598" s="157">
        <f>C568+C590+C596+C597</f>
        <v>130634.75459346999</v>
      </c>
      <c r="D598" s="157">
        <f>D568+D590+D596+D597</f>
        <v>122273.064957996</v>
      </c>
      <c r="E598" s="157">
        <f>E568+E590+E596+E597</f>
        <v>291700.26166203</v>
      </c>
      <c r="F598" s="157">
        <f>F568+F590+F596+F597</f>
        <v>299906.375202938</v>
      </c>
    </row>
    <row r="599" spans="1:6" ht="31.5" customHeight="1">
      <c r="A599" s="161" t="s">
        <v>22</v>
      </c>
      <c r="B599" s="162">
        <f>B598/12/B548</f>
        <v>19.47413262421572</v>
      </c>
      <c r="C599" s="14">
        <f>C598/C548/3</f>
        <v>12.04952036975268</v>
      </c>
      <c r="D599" s="14">
        <f>D598/3/C548</f>
        <v>11.278252800860031</v>
      </c>
      <c r="E599" s="14">
        <f>E598/3/C548</f>
        <v>26.90591991156474</v>
      </c>
      <c r="F599" s="14">
        <f>F598/3/F548</f>
        <v>27.662837414685434</v>
      </c>
    </row>
    <row r="600" spans="1:6" ht="12.75">
      <c r="A600" s="163" t="s">
        <v>34</v>
      </c>
      <c r="B600" s="164">
        <f>B551-B598</f>
        <v>-385181.4164164339</v>
      </c>
      <c r="C600" s="165">
        <f>C551-C598</f>
        <v>-34530.064593469986</v>
      </c>
      <c r="D600" s="165">
        <f>D551-D598-34530</f>
        <v>-67560.114957996</v>
      </c>
      <c r="E600" s="165">
        <f>E551-E598-67560</f>
        <v>-226163.45166203</v>
      </c>
      <c r="F600" s="165">
        <f>F551-F598-217737</f>
        <v>-376754.785202938</v>
      </c>
    </row>
    <row r="601" spans="1:6" ht="11.25" customHeight="1">
      <c r="A601" s="29" t="s">
        <v>44</v>
      </c>
      <c r="B601" s="29"/>
      <c r="C601" s="29"/>
      <c r="D601" s="29"/>
      <c r="E601" s="29"/>
      <c r="F601" s="29"/>
    </row>
    <row r="602" spans="1:6" ht="8.25" customHeight="1">
      <c r="A602" s="29" t="s">
        <v>579</v>
      </c>
      <c r="B602" s="29"/>
      <c r="C602" s="29"/>
      <c r="D602" s="29"/>
      <c r="E602" s="29"/>
      <c r="F602" s="29"/>
    </row>
    <row r="603" spans="1:6" ht="12.75">
      <c r="A603" s="29" t="s">
        <v>45</v>
      </c>
      <c r="B603" s="29"/>
      <c r="C603" s="29"/>
      <c r="D603" s="29"/>
      <c r="E603" s="29"/>
      <c r="F603" s="29"/>
    </row>
    <row r="604" spans="1:6" ht="6" customHeight="1" hidden="1">
      <c r="A604" s="29"/>
      <c r="B604" s="29"/>
      <c r="C604" s="29"/>
      <c r="D604" s="29"/>
      <c r="E604" s="29"/>
      <c r="F604" s="29"/>
    </row>
    <row r="605" spans="1:6" ht="12.75">
      <c r="A605" s="120" t="s">
        <v>35</v>
      </c>
      <c r="B605" s="120"/>
      <c r="C605" s="29"/>
      <c r="D605" s="29"/>
      <c r="E605" s="29"/>
      <c r="F605" s="29"/>
    </row>
    <row r="606" spans="1:6" ht="12.75">
      <c r="A606" s="29" t="s">
        <v>616</v>
      </c>
      <c r="B606" s="29"/>
      <c r="C606" s="29"/>
      <c r="D606" s="29"/>
      <c r="E606" s="29"/>
      <c r="F606" s="29"/>
    </row>
    <row r="607" spans="1:6" ht="12.75">
      <c r="A607" s="29" t="s">
        <v>593</v>
      </c>
      <c r="B607" s="29"/>
      <c r="C607" s="29"/>
      <c r="D607" s="29"/>
      <c r="E607" s="29" t="s">
        <v>340</v>
      </c>
      <c r="F607" s="29"/>
    </row>
    <row r="608" spans="1:6" ht="12.75">
      <c r="A608" s="10" t="s">
        <v>1</v>
      </c>
      <c r="B608" s="10" t="s">
        <v>11</v>
      </c>
      <c r="C608" s="10" t="s">
        <v>86</v>
      </c>
      <c r="D608" s="10" t="s">
        <v>87</v>
      </c>
      <c r="E608" s="10" t="s">
        <v>120</v>
      </c>
      <c r="F608" s="10" t="s">
        <v>141</v>
      </c>
    </row>
    <row r="609" spans="1:6" ht="12.75">
      <c r="A609" s="22" t="s">
        <v>6</v>
      </c>
      <c r="B609" s="22"/>
      <c r="C609" s="10"/>
      <c r="D609" s="5"/>
      <c r="E609" s="5"/>
      <c r="F609" s="5"/>
    </row>
    <row r="610" spans="1:6" ht="12.75">
      <c r="A610" s="5" t="s">
        <v>2</v>
      </c>
      <c r="B610" s="5"/>
      <c r="C610" s="10">
        <v>5</v>
      </c>
      <c r="D610" s="5"/>
      <c r="E610" s="5"/>
      <c r="F610" s="5"/>
    </row>
    <row r="611" spans="1:6" ht="12.75">
      <c r="A611" s="5" t="s">
        <v>3</v>
      </c>
      <c r="B611" s="5"/>
      <c r="C611" s="10">
        <v>6</v>
      </c>
      <c r="D611" s="5"/>
      <c r="E611" s="5"/>
      <c r="F611" s="5"/>
    </row>
    <row r="612" spans="1:6" ht="12.75">
      <c r="A612" s="5" t="s">
        <v>4</v>
      </c>
      <c r="B612" s="5"/>
      <c r="C612" s="10">
        <v>61</v>
      </c>
      <c r="D612" s="5"/>
      <c r="E612" s="5"/>
      <c r="F612" s="5"/>
    </row>
    <row r="613" spans="1:6" ht="12.75">
      <c r="A613" s="5" t="s">
        <v>5</v>
      </c>
      <c r="B613" s="10">
        <v>3614.21</v>
      </c>
      <c r="C613" s="10">
        <v>3614.21</v>
      </c>
      <c r="D613" s="10">
        <v>3614.21</v>
      </c>
      <c r="E613" s="10">
        <v>3614.21</v>
      </c>
      <c r="F613" s="10">
        <v>3614.21</v>
      </c>
    </row>
    <row r="614" spans="1:6" ht="24">
      <c r="A614" s="150" t="s">
        <v>7</v>
      </c>
      <c r="B614" s="150"/>
      <c r="C614" s="5" t="s">
        <v>36</v>
      </c>
      <c r="D614" s="5"/>
      <c r="E614" s="5"/>
      <c r="F614" s="5"/>
    </row>
    <row r="615" spans="1:6" ht="18.75" customHeight="1">
      <c r="A615" s="151" t="s">
        <v>8</v>
      </c>
      <c r="B615" s="6">
        <f>C615+D615+E615+F615</f>
        <v>374225.13</v>
      </c>
      <c r="C615" s="10">
        <v>88928.76</v>
      </c>
      <c r="D615" s="10">
        <v>105556.44</v>
      </c>
      <c r="E615" s="5">
        <v>111533.8</v>
      </c>
      <c r="F615" s="5">
        <v>68206.13</v>
      </c>
    </row>
    <row r="616" spans="1:6" ht="12.75">
      <c r="A616" s="5" t="s">
        <v>11</v>
      </c>
      <c r="B616" s="150">
        <f>B615</f>
        <v>374225.13</v>
      </c>
      <c r="C616" s="150">
        <f>C615</f>
        <v>88928.76</v>
      </c>
      <c r="D616" s="150">
        <f>D615</f>
        <v>105556.44</v>
      </c>
      <c r="E616" s="150">
        <f>E615</f>
        <v>111533.8</v>
      </c>
      <c r="F616" s="150">
        <f>F615</f>
        <v>68206.13</v>
      </c>
    </row>
    <row r="617" spans="1:6" ht="24">
      <c r="A617" s="150" t="s">
        <v>12</v>
      </c>
      <c r="B617" s="150"/>
      <c r="C617" s="5"/>
      <c r="D617" s="5"/>
      <c r="E617" s="5"/>
      <c r="F617" s="5"/>
    </row>
    <row r="618" spans="1:7" ht="12.75">
      <c r="A618" s="156" t="s">
        <v>13</v>
      </c>
      <c r="B618" s="166">
        <f>C618+D618+E618+F618</f>
        <v>114125.79712948999</v>
      </c>
      <c r="C618" s="157">
        <f>7.5947*C613</f>
        <v>27448.840687</v>
      </c>
      <c r="D618" s="157">
        <f>7.632*C613</f>
        <v>27583.650719999998</v>
      </c>
      <c r="E618" s="157">
        <f>8.5526*E613</f>
        <v>30910.892446</v>
      </c>
      <c r="F618" s="157">
        <f>7.797669*F613</f>
        <v>28182.41327649</v>
      </c>
      <c r="G618" s="8"/>
    </row>
    <row r="619" spans="1:6" ht="21">
      <c r="A619" s="156" t="s">
        <v>14</v>
      </c>
      <c r="B619" s="167">
        <f aca="true" t="shared" si="10" ref="B619:B656">C619+D619+E619+F619</f>
        <v>0</v>
      </c>
      <c r="C619" s="12"/>
      <c r="D619" s="12"/>
      <c r="E619" s="12"/>
      <c r="F619" s="12"/>
    </row>
    <row r="620" spans="1:6" ht="12.75">
      <c r="A620" s="153" t="s">
        <v>15</v>
      </c>
      <c r="B620" s="167">
        <f t="shared" si="10"/>
        <v>130872.68</v>
      </c>
      <c r="C620" s="12">
        <f>C621+C623</f>
        <v>29566.39</v>
      </c>
      <c r="D620" s="12">
        <f>D621+D623+D624+D625+D626+D627+D628+D629</f>
        <v>32972.23</v>
      </c>
      <c r="E620" s="12">
        <f>E621+E623+E624+E625+E626+E627+E628+E629</f>
        <v>36863.5</v>
      </c>
      <c r="F620" s="12">
        <f>F621+F623+F624+F625+F626+F627+F628+F629</f>
        <v>31470.56</v>
      </c>
    </row>
    <row r="621" spans="1:6" ht="12.75">
      <c r="A621" s="158" t="s">
        <v>16</v>
      </c>
      <c r="B621" s="167">
        <f t="shared" si="10"/>
        <v>121843</v>
      </c>
      <c r="C621" s="165">
        <v>29354</v>
      </c>
      <c r="D621" s="12">
        <v>27704</v>
      </c>
      <c r="E621" s="12">
        <v>34078</v>
      </c>
      <c r="F621" s="12">
        <v>30707</v>
      </c>
    </row>
    <row r="622" spans="1:6" ht="12.75">
      <c r="A622" s="153" t="s">
        <v>33</v>
      </c>
      <c r="B622" s="167">
        <f t="shared" si="10"/>
        <v>79538</v>
      </c>
      <c r="C622" s="165">
        <v>17486</v>
      </c>
      <c r="D622" s="12">
        <v>18856</v>
      </c>
      <c r="E622" s="12">
        <v>21598</v>
      </c>
      <c r="F622" s="12">
        <v>21598</v>
      </c>
    </row>
    <row r="623" spans="1:6" ht="12.75">
      <c r="A623" s="153" t="s">
        <v>24</v>
      </c>
      <c r="B623" s="167">
        <f t="shared" si="10"/>
        <v>2120.0299999999997</v>
      </c>
      <c r="C623" s="12">
        <v>212.39</v>
      </c>
      <c r="D623" s="12">
        <v>510.08</v>
      </c>
      <c r="E623" s="12">
        <v>684</v>
      </c>
      <c r="F623" s="12">
        <v>713.56</v>
      </c>
    </row>
    <row r="624" spans="1:6" ht="12.75">
      <c r="A624" s="153" t="s">
        <v>17</v>
      </c>
      <c r="B624" s="167">
        <f t="shared" si="10"/>
        <v>0</v>
      </c>
      <c r="C624" s="12"/>
      <c r="D624" s="12"/>
      <c r="E624" s="12"/>
      <c r="F624" s="12"/>
    </row>
    <row r="625" spans="1:6" ht="12.75">
      <c r="A625" s="153" t="s">
        <v>40</v>
      </c>
      <c r="B625" s="167">
        <f t="shared" si="10"/>
        <v>50</v>
      </c>
      <c r="C625" s="12"/>
      <c r="D625" s="12"/>
      <c r="E625" s="12"/>
      <c r="F625" s="12">
        <v>50</v>
      </c>
    </row>
    <row r="626" spans="1:6" ht="12.75">
      <c r="A626" s="153" t="s">
        <v>88</v>
      </c>
      <c r="B626" s="167">
        <f t="shared" si="10"/>
        <v>654.9</v>
      </c>
      <c r="C626" s="12"/>
      <c r="D626" s="12">
        <v>392.4</v>
      </c>
      <c r="E626" s="12">
        <v>262.5</v>
      </c>
      <c r="F626" s="12"/>
    </row>
    <row r="627" spans="1:6" ht="12.75">
      <c r="A627" s="153" t="s">
        <v>371</v>
      </c>
      <c r="B627" s="167">
        <f t="shared" si="10"/>
        <v>3432</v>
      </c>
      <c r="C627" s="12"/>
      <c r="D627" s="12">
        <v>1593</v>
      </c>
      <c r="E627" s="12">
        <v>1839</v>
      </c>
      <c r="F627" s="12"/>
    </row>
    <row r="628" spans="1:6" ht="12.75">
      <c r="A628" s="153" t="s">
        <v>99</v>
      </c>
      <c r="B628" s="167">
        <f t="shared" si="10"/>
        <v>950</v>
      </c>
      <c r="C628" s="12"/>
      <c r="D628" s="12">
        <v>950</v>
      </c>
      <c r="E628" s="12"/>
      <c r="F628" s="12"/>
    </row>
    <row r="629" spans="1:6" ht="12.75">
      <c r="A629" s="153" t="s">
        <v>106</v>
      </c>
      <c r="B629" s="167">
        <f t="shared" si="10"/>
        <v>1822.75</v>
      </c>
      <c r="C629" s="12"/>
      <c r="D629" s="12">
        <v>1822.75</v>
      </c>
      <c r="E629" s="12"/>
      <c r="F629" s="12"/>
    </row>
    <row r="630" spans="1:6" ht="12.75">
      <c r="A630" s="155" t="s">
        <v>11</v>
      </c>
      <c r="B630" s="166">
        <f t="shared" si="10"/>
        <v>244998.47712949</v>
      </c>
      <c r="C630" s="157">
        <f>C618+C620</f>
        <v>57015.230687</v>
      </c>
      <c r="D630" s="157">
        <f>D618+D620</f>
        <v>60555.88072</v>
      </c>
      <c r="E630" s="157">
        <f>E618+E620</f>
        <v>67774.392446</v>
      </c>
      <c r="F630" s="157">
        <f>F618+F620</f>
        <v>59652.973276489996</v>
      </c>
    </row>
    <row r="631" spans="1:6" ht="21">
      <c r="A631" s="159" t="s">
        <v>18</v>
      </c>
      <c r="B631" s="167">
        <f t="shared" si="10"/>
        <v>0</v>
      </c>
      <c r="C631" s="12"/>
      <c r="D631" s="12"/>
      <c r="E631" s="12"/>
      <c r="F631" s="12"/>
    </row>
    <row r="632" spans="1:6" ht="12.75">
      <c r="A632" s="153" t="s">
        <v>23</v>
      </c>
      <c r="B632" s="167">
        <f t="shared" si="10"/>
        <v>88630.187567</v>
      </c>
      <c r="C632" s="165">
        <f>5.3352*C613</f>
        <v>19282.533192000003</v>
      </c>
      <c r="D632" s="12">
        <f>6.1735*C613</f>
        <v>22312.325435</v>
      </c>
      <c r="E632" s="12">
        <f>6.4099*E613</f>
        <v>23166.724679000003</v>
      </c>
      <c r="F632" s="12">
        <f>6.6041*F613</f>
        <v>23868.604261</v>
      </c>
    </row>
    <row r="633" spans="1:6" ht="22.5">
      <c r="A633" s="153" t="s">
        <v>262</v>
      </c>
      <c r="B633" s="167">
        <f t="shared" si="10"/>
        <v>67746</v>
      </c>
      <c r="C633" s="12">
        <v>3366</v>
      </c>
      <c r="D633" s="12">
        <v>64380</v>
      </c>
      <c r="E633" s="12"/>
      <c r="F633" s="12"/>
    </row>
    <row r="634" spans="1:6" ht="12.75">
      <c r="A634" s="153" t="s">
        <v>234</v>
      </c>
      <c r="B634" s="167">
        <f t="shared" si="10"/>
        <v>2001</v>
      </c>
      <c r="C634" s="12">
        <v>1245</v>
      </c>
      <c r="D634" s="12"/>
      <c r="E634" s="12">
        <v>756</v>
      </c>
      <c r="F634" s="12"/>
    </row>
    <row r="635" spans="1:6" ht="12.75">
      <c r="A635" s="153" t="s">
        <v>470</v>
      </c>
      <c r="B635" s="167">
        <f t="shared" si="10"/>
        <v>114</v>
      </c>
      <c r="C635" s="12"/>
      <c r="D635" s="12"/>
      <c r="E635" s="12"/>
      <c r="F635" s="12">
        <v>114</v>
      </c>
    </row>
    <row r="636" spans="1:7" ht="12.75">
      <c r="A636" s="153" t="s">
        <v>30</v>
      </c>
      <c r="B636" s="167">
        <f t="shared" si="10"/>
        <v>17068.25</v>
      </c>
      <c r="C636" s="12">
        <v>1460</v>
      </c>
      <c r="D636" s="12">
        <v>2846</v>
      </c>
      <c r="E636" s="12">
        <v>9484.25</v>
      </c>
      <c r="F636" s="30">
        <v>3278</v>
      </c>
      <c r="G636" s="119"/>
    </row>
    <row r="637" spans="1:6" ht="12.75">
      <c r="A637" s="153" t="s">
        <v>28</v>
      </c>
      <c r="B637" s="167">
        <f t="shared" si="10"/>
        <v>520.09</v>
      </c>
      <c r="C637" s="12"/>
      <c r="D637" s="12"/>
      <c r="E637" s="12"/>
      <c r="F637" s="12">
        <v>520.09</v>
      </c>
    </row>
    <row r="638" spans="1:6" ht="12.75">
      <c r="A638" s="153" t="s">
        <v>41</v>
      </c>
      <c r="B638" s="167">
        <f t="shared" si="10"/>
        <v>3031</v>
      </c>
      <c r="C638" s="12"/>
      <c r="D638" s="12">
        <v>3031</v>
      </c>
      <c r="E638" s="12"/>
      <c r="F638" s="12"/>
    </row>
    <row r="639" spans="1:6" ht="12.75">
      <c r="A639" s="153" t="s">
        <v>50</v>
      </c>
      <c r="B639" s="167">
        <f t="shared" si="10"/>
        <v>2760</v>
      </c>
      <c r="C639" s="12"/>
      <c r="D639" s="12">
        <v>2535</v>
      </c>
      <c r="E639" s="12"/>
      <c r="F639" s="12">
        <v>225</v>
      </c>
    </row>
    <row r="640" spans="1:6" ht="12.75">
      <c r="A640" s="153" t="s">
        <v>52</v>
      </c>
      <c r="B640" s="167">
        <f t="shared" si="10"/>
        <v>3905</v>
      </c>
      <c r="C640" s="12">
        <v>1450</v>
      </c>
      <c r="D640" s="12"/>
      <c r="E640" s="12"/>
      <c r="F640" s="12">
        <v>2455</v>
      </c>
    </row>
    <row r="641" spans="1:6" ht="19.5" customHeight="1">
      <c r="A641" s="153" t="s">
        <v>225</v>
      </c>
      <c r="B641" s="167">
        <f t="shared" si="10"/>
        <v>517.54</v>
      </c>
      <c r="C641" s="12">
        <v>517.54</v>
      </c>
      <c r="D641" s="12"/>
      <c r="E641" s="12"/>
      <c r="F641" s="12"/>
    </row>
    <row r="642" spans="1:6" ht="12.75">
      <c r="A642" s="153" t="s">
        <v>233</v>
      </c>
      <c r="B642" s="167">
        <f t="shared" si="10"/>
        <v>125</v>
      </c>
      <c r="C642" s="12">
        <v>125</v>
      </c>
      <c r="D642" s="12"/>
      <c r="E642" s="12"/>
      <c r="F642" s="12"/>
    </row>
    <row r="643" spans="1:6" ht="12.75">
      <c r="A643" s="153" t="s">
        <v>453</v>
      </c>
      <c r="B643" s="167">
        <f t="shared" si="10"/>
        <v>909</v>
      </c>
      <c r="C643" s="12"/>
      <c r="D643" s="12"/>
      <c r="E643" s="12"/>
      <c r="F643" s="12">
        <v>909</v>
      </c>
    </row>
    <row r="644" spans="1:6" ht="18.75" customHeight="1">
      <c r="A644" s="153" t="s">
        <v>457</v>
      </c>
      <c r="B644" s="167">
        <f t="shared" si="10"/>
        <v>21800</v>
      </c>
      <c r="C644" s="12"/>
      <c r="D644" s="12"/>
      <c r="E644" s="12"/>
      <c r="F644" s="12">
        <v>21800</v>
      </c>
    </row>
    <row r="645" spans="1:6" ht="12.75">
      <c r="A645" s="153" t="s">
        <v>472</v>
      </c>
      <c r="B645" s="167">
        <f t="shared" si="10"/>
        <v>70193</v>
      </c>
      <c r="C645" s="12"/>
      <c r="D645" s="12"/>
      <c r="E645" s="12"/>
      <c r="F645" s="12">
        <v>70193</v>
      </c>
    </row>
    <row r="646" spans="1:6" ht="22.5">
      <c r="A646" s="153" t="s">
        <v>571</v>
      </c>
      <c r="B646" s="167">
        <f t="shared" si="10"/>
        <v>956</v>
      </c>
      <c r="C646" s="12">
        <v>956</v>
      </c>
      <c r="D646" s="12"/>
      <c r="E646" s="12"/>
      <c r="F646" s="30">
        <v>0</v>
      </c>
    </row>
    <row r="647" spans="1:6" ht="12.75">
      <c r="A647" s="155" t="s">
        <v>11</v>
      </c>
      <c r="B647" s="166">
        <f t="shared" si="10"/>
        <v>280276.06756700005</v>
      </c>
      <c r="C647" s="157">
        <f>SUM(C632:C646)</f>
        <v>28402.073192000003</v>
      </c>
      <c r="D647" s="157">
        <f>SUM(D632:D646)</f>
        <v>95104.325435</v>
      </c>
      <c r="E647" s="157">
        <f>SUM(E632:E646)</f>
        <v>33406.974679000006</v>
      </c>
      <c r="F647" s="157">
        <f>SUM(F632:F646)</f>
        <v>123362.694261</v>
      </c>
    </row>
    <row r="648" spans="1:6" ht="12.75">
      <c r="A648" s="155" t="s">
        <v>19</v>
      </c>
      <c r="B648" s="167">
        <f t="shared" si="10"/>
        <v>0</v>
      </c>
      <c r="C648" s="12"/>
      <c r="D648" s="12"/>
      <c r="E648" s="12"/>
      <c r="F648" s="12"/>
    </row>
    <row r="649" spans="1:6" ht="12.75">
      <c r="A649" s="153" t="s">
        <v>38</v>
      </c>
      <c r="B649" s="167">
        <f t="shared" si="10"/>
        <v>3038.22419493</v>
      </c>
      <c r="C649" s="12">
        <f>0.218666*C613</f>
        <v>790.30484386</v>
      </c>
      <c r="D649" s="12">
        <f>0.210458*C613</f>
        <v>760.63940818</v>
      </c>
      <c r="E649" s="12">
        <f>0.167241*E613</f>
        <v>604.44409461</v>
      </c>
      <c r="F649" s="12">
        <f>0.244268*F613</f>
        <v>882.83584828</v>
      </c>
    </row>
    <row r="650" spans="1:6" ht="12.75">
      <c r="A650" s="153" t="s">
        <v>39</v>
      </c>
      <c r="B650" s="167">
        <f t="shared" si="10"/>
        <v>6024.59531899</v>
      </c>
      <c r="C650" s="12">
        <f>0.306583*C613</f>
        <v>1108.0553444299999</v>
      </c>
      <c r="D650" s="12">
        <f>0.0733554*C613</f>
        <v>265.121820234</v>
      </c>
      <c r="E650" s="12">
        <f>0.536065*E613</f>
        <v>1937.45148365</v>
      </c>
      <c r="F650" s="12">
        <f>0.7509156*F613</f>
        <v>2713.966670676</v>
      </c>
    </row>
    <row r="651" spans="1:6" ht="12.75">
      <c r="A651" s="153" t="s">
        <v>32</v>
      </c>
      <c r="B651" s="167">
        <f t="shared" si="10"/>
        <v>0</v>
      </c>
      <c r="C651" s="12"/>
      <c r="D651" s="12"/>
      <c r="E651" s="12"/>
      <c r="F651" s="12"/>
    </row>
    <row r="652" spans="1:6" ht="12.75">
      <c r="A652" s="153" t="s">
        <v>37</v>
      </c>
      <c r="B652" s="167">
        <f t="shared" si="10"/>
        <v>7783.399293708</v>
      </c>
      <c r="C652" s="12">
        <f>0.70476*C613</f>
        <v>2547.1506396000004</v>
      </c>
      <c r="D652" s="12">
        <f>0.3731258*C613</f>
        <v>1348.554997618</v>
      </c>
      <c r="E652" s="12">
        <f>0.553205*E613</f>
        <v>1999.3990430499998</v>
      </c>
      <c r="F652" s="12">
        <f>0.522464*F613</f>
        <v>1888.2946134400001</v>
      </c>
    </row>
    <row r="653" spans="1:6" ht="12.75">
      <c r="A653" s="153" t="s">
        <v>20</v>
      </c>
      <c r="B653" s="167">
        <f t="shared" si="10"/>
        <v>2878.09662088</v>
      </c>
      <c r="C653" s="12"/>
      <c r="D653" s="12">
        <f>0.158142*C613</f>
        <v>571.55839782</v>
      </c>
      <c r="E653" s="12">
        <f>0.60489*E613</f>
        <v>2186.1994869</v>
      </c>
      <c r="F653" s="12">
        <f>0.033296*F613</f>
        <v>120.33873616</v>
      </c>
    </row>
    <row r="654" spans="1:6" ht="12.75">
      <c r="A654" s="156" t="s">
        <v>11</v>
      </c>
      <c r="B654" s="166">
        <f t="shared" si="10"/>
        <v>19724.315428508</v>
      </c>
      <c r="C654" s="157">
        <f>C649+C650+C651+C652+C653</f>
        <v>4445.510827890001</v>
      </c>
      <c r="D654" s="157">
        <f>SUM(D649:D653)</f>
        <v>2945.874623852</v>
      </c>
      <c r="E654" s="157">
        <f>SUM(E649:E653)</f>
        <v>6727.49410821</v>
      </c>
      <c r="F654" s="12">
        <f>SUM(F649:F653)</f>
        <v>5605.435868556</v>
      </c>
    </row>
    <row r="655" spans="1:6" ht="12.75">
      <c r="A655" s="153" t="s">
        <v>101</v>
      </c>
      <c r="B655" s="167">
        <f t="shared" si="10"/>
        <v>2358.17490256</v>
      </c>
      <c r="C655" s="157">
        <f>0.0644*C613</f>
        <v>232.755124</v>
      </c>
      <c r="D655" s="157">
        <v>200</v>
      </c>
      <c r="E655" s="12">
        <f>0.10264*E613</f>
        <v>370.9625144</v>
      </c>
      <c r="F655" s="12">
        <f>0.430096*F613</f>
        <v>1554.45726416</v>
      </c>
    </row>
    <row r="656" spans="1:6" ht="30" customHeight="1">
      <c r="A656" s="161" t="s">
        <v>21</v>
      </c>
      <c r="B656" s="166">
        <f t="shared" si="10"/>
        <v>547357.035027558</v>
      </c>
      <c r="C656" s="157">
        <f>C630+C647+C654+C655</f>
        <v>90095.56983089002</v>
      </c>
      <c r="D656" s="157">
        <f>D630+D647+D654+D655</f>
        <v>158806.08077885202</v>
      </c>
      <c r="E656" s="157">
        <f>E630+E647+E654+E655</f>
        <v>108279.82374761</v>
      </c>
      <c r="F656" s="157">
        <f>F630+F647+F654+F655</f>
        <v>190175.560670206</v>
      </c>
    </row>
    <row r="657" spans="1:6" ht="30.75" customHeight="1">
      <c r="A657" s="161" t="s">
        <v>22</v>
      </c>
      <c r="B657" s="162">
        <f>B656/12/C613</f>
        <v>12.620485874450155</v>
      </c>
      <c r="C657" s="14">
        <f>C656/C613/3</f>
        <v>8.309383408904482</v>
      </c>
      <c r="D657" s="14">
        <f>D656/3/C613</f>
        <v>14.646453930351955</v>
      </c>
      <c r="E657" s="14">
        <f>E656/3/C613</f>
        <v>9.986490708214705</v>
      </c>
      <c r="F657" s="14">
        <f>F656/3/C613</f>
        <v>17.539615450329485</v>
      </c>
    </row>
    <row r="658" spans="1:6" ht="12.75">
      <c r="A658" s="163" t="s">
        <v>34</v>
      </c>
      <c r="B658" s="154">
        <f>B616-B656</f>
        <v>-173131.90502755798</v>
      </c>
      <c r="C658" s="165">
        <f>C616-C656</f>
        <v>-1166.8098308900226</v>
      </c>
      <c r="D658" s="12">
        <f>D616-D656-1166</f>
        <v>-54415.640778852016</v>
      </c>
      <c r="E658" s="12">
        <f>E616-E656-54416</f>
        <v>-51162.02374761</v>
      </c>
      <c r="F658" s="12">
        <f>F616-F656-44939</f>
        <v>-166908.430670206</v>
      </c>
    </row>
    <row r="659" spans="1:6" ht="12.75">
      <c r="A659" s="29" t="s">
        <v>44</v>
      </c>
      <c r="B659" s="29"/>
      <c r="C659" s="29"/>
      <c r="D659" s="29"/>
      <c r="E659" s="29"/>
      <c r="F659" s="29"/>
    </row>
    <row r="660" spans="1:6" ht="12.75">
      <c r="A660" s="29" t="s">
        <v>45</v>
      </c>
      <c r="B660" s="29"/>
      <c r="C660" s="29"/>
      <c r="D660" s="29"/>
      <c r="E660" s="29"/>
      <c r="F660" s="29"/>
    </row>
    <row r="661" spans="1:6" ht="12.75">
      <c r="A661" s="29" t="s">
        <v>579</v>
      </c>
      <c r="B661" s="29"/>
      <c r="C661" s="29"/>
      <c r="D661" s="29"/>
      <c r="E661" s="29"/>
      <c r="F661" s="29"/>
    </row>
    <row r="662" spans="1:6" ht="2.25" customHeight="1">
      <c r="A662" s="29"/>
      <c r="B662" s="29"/>
      <c r="C662" s="29"/>
      <c r="D662" s="29"/>
      <c r="E662" s="29"/>
      <c r="F662" s="29"/>
    </row>
    <row r="663" spans="1:6" ht="12.75">
      <c r="A663" s="120" t="s">
        <v>35</v>
      </c>
      <c r="B663" s="120"/>
      <c r="C663" s="29"/>
      <c r="D663" s="29"/>
      <c r="E663" s="29"/>
      <c r="F663" s="29"/>
    </row>
    <row r="664" spans="1:6" ht="12.75">
      <c r="A664" s="29" t="s">
        <v>616</v>
      </c>
      <c r="B664" s="29"/>
      <c r="C664" s="29"/>
      <c r="D664" s="29"/>
      <c r="E664" s="29"/>
      <c r="F664" s="29"/>
    </row>
    <row r="665" spans="1:6" ht="12.75">
      <c r="A665" s="29" t="s">
        <v>594</v>
      </c>
      <c r="B665" s="29"/>
      <c r="C665" s="29"/>
      <c r="D665" s="29"/>
      <c r="E665" s="29" t="s">
        <v>340</v>
      </c>
      <c r="F665" s="29"/>
    </row>
    <row r="666" spans="1:6" ht="2.25" customHeight="1">
      <c r="A666" s="10" t="s">
        <v>1</v>
      </c>
      <c r="B666" s="10" t="s">
        <v>11</v>
      </c>
      <c r="C666" s="10" t="s">
        <v>86</v>
      </c>
      <c r="D666" s="10" t="s">
        <v>87</v>
      </c>
      <c r="E666" s="10" t="s">
        <v>120</v>
      </c>
      <c r="F666" s="10" t="s">
        <v>141</v>
      </c>
    </row>
    <row r="667" spans="1:6" ht="12.75">
      <c r="A667" s="22" t="s">
        <v>6</v>
      </c>
      <c r="B667" s="22"/>
      <c r="C667" s="10"/>
      <c r="D667" s="5"/>
      <c r="E667" s="5"/>
      <c r="F667" s="5"/>
    </row>
    <row r="668" spans="1:6" ht="12.75">
      <c r="A668" s="5" t="s">
        <v>2</v>
      </c>
      <c r="B668" s="5"/>
      <c r="C668" s="10">
        <v>5</v>
      </c>
      <c r="D668" s="5"/>
      <c r="E668" s="5"/>
      <c r="F668" s="5"/>
    </row>
    <row r="669" spans="1:6" ht="12.75">
      <c r="A669" s="5" t="s">
        <v>3</v>
      </c>
      <c r="B669" s="5"/>
      <c r="C669" s="10">
        <v>6</v>
      </c>
      <c r="D669" s="5"/>
      <c r="E669" s="5"/>
      <c r="F669" s="5"/>
    </row>
    <row r="670" spans="1:6" ht="12.75">
      <c r="A670" s="5" t="s">
        <v>4</v>
      </c>
      <c r="B670" s="5"/>
      <c r="C670" s="10">
        <v>60</v>
      </c>
      <c r="D670" s="5"/>
      <c r="E670" s="5"/>
      <c r="F670" s="5"/>
    </row>
    <row r="671" spans="1:6" ht="12.75">
      <c r="A671" s="5" t="s">
        <v>5</v>
      </c>
      <c r="B671" s="10">
        <v>3644.1</v>
      </c>
      <c r="C671" s="10">
        <v>3644.1</v>
      </c>
      <c r="D671" s="10">
        <v>3644.1</v>
      </c>
      <c r="E671" s="10">
        <v>3644.1</v>
      </c>
      <c r="F671" s="10">
        <v>3644.1</v>
      </c>
    </row>
    <row r="672" spans="1:6" ht="24">
      <c r="A672" s="150" t="s">
        <v>7</v>
      </c>
      <c r="B672" s="150"/>
      <c r="C672" s="5" t="s">
        <v>36</v>
      </c>
      <c r="D672" s="5"/>
      <c r="E672" s="5"/>
      <c r="F672" s="5"/>
    </row>
    <row r="673" spans="1:6" ht="24">
      <c r="A673" s="151" t="s">
        <v>8</v>
      </c>
      <c r="B673" s="6">
        <f>C673+D673+E673+F673</f>
        <v>411612.66000000003</v>
      </c>
      <c r="C673" s="10">
        <v>94332.81</v>
      </c>
      <c r="D673" s="5">
        <v>108033.65</v>
      </c>
      <c r="E673" s="10">
        <v>138628.81</v>
      </c>
      <c r="F673" s="10">
        <v>70617.39</v>
      </c>
    </row>
    <row r="674" spans="1:6" ht="12.75">
      <c r="A674" s="5" t="s">
        <v>11</v>
      </c>
      <c r="B674" s="150">
        <f>B673</f>
        <v>411612.66000000003</v>
      </c>
      <c r="C674" s="150">
        <f>C673</f>
        <v>94332.81</v>
      </c>
      <c r="D674" s="150">
        <f>D673</f>
        <v>108033.65</v>
      </c>
      <c r="E674" s="150">
        <f>E673</f>
        <v>138628.81</v>
      </c>
      <c r="F674" s="150">
        <f>F673</f>
        <v>70617.39</v>
      </c>
    </row>
    <row r="675" spans="1:6" ht="18.75" customHeight="1">
      <c r="A675" s="150" t="s">
        <v>12</v>
      </c>
      <c r="B675" s="150"/>
      <c r="C675" s="5"/>
      <c r="D675" s="5"/>
      <c r="E675" s="5"/>
      <c r="F675" s="5"/>
    </row>
    <row r="676" spans="1:7" ht="12.75">
      <c r="A676" s="156" t="s">
        <v>13</v>
      </c>
      <c r="B676" s="166">
        <f>C676+D676+E676+F676</f>
        <v>115069.6327329</v>
      </c>
      <c r="C676" s="157">
        <f>7.5947*C671</f>
        <v>27675.84627</v>
      </c>
      <c r="D676" s="157">
        <f>7.632*C671</f>
        <v>27811.7712</v>
      </c>
      <c r="E676" s="157">
        <f>8.5526*E671</f>
        <v>31166.52966</v>
      </c>
      <c r="F676" s="157">
        <f>7.797669*F671</f>
        <v>28415.4856029</v>
      </c>
      <c r="G676" s="8"/>
    </row>
    <row r="677" spans="1:6" ht="21">
      <c r="A677" s="156" t="s">
        <v>14</v>
      </c>
      <c r="B677" s="167">
        <f aca="true" t="shared" si="11" ref="B677:B714">C677+D677+E677+F677</f>
        <v>0</v>
      </c>
      <c r="C677" s="12"/>
      <c r="D677" s="12"/>
      <c r="E677" s="12"/>
      <c r="F677" s="12"/>
    </row>
    <row r="678" spans="1:6" ht="12.75">
      <c r="A678" s="153" t="s">
        <v>15</v>
      </c>
      <c r="B678" s="167">
        <f>B679+B681+B682+B683+B684+B685+B686</f>
        <v>137889.93</v>
      </c>
      <c r="C678" s="167">
        <f>C679+C681+C682+C683+C684+C685+C686</f>
        <v>29313.71</v>
      </c>
      <c r="D678" s="167">
        <f>D679+D681+D682+D683+D684+D685+D686</f>
        <v>35862.23</v>
      </c>
      <c r="E678" s="167">
        <f>E679+E681+E682+E683+E684+E685+E686</f>
        <v>39766.99</v>
      </c>
      <c r="F678" s="167">
        <f>F679+F681+F682+F683+F684+F685+F686</f>
        <v>32947</v>
      </c>
    </row>
    <row r="679" spans="1:6" ht="12.75">
      <c r="A679" s="158" t="s">
        <v>16</v>
      </c>
      <c r="B679" s="167">
        <f t="shared" si="11"/>
        <v>121609</v>
      </c>
      <c r="C679" s="165">
        <v>29101</v>
      </c>
      <c r="D679" s="12">
        <v>27544</v>
      </c>
      <c r="E679" s="12">
        <v>34181</v>
      </c>
      <c r="F679" s="12">
        <v>30783</v>
      </c>
    </row>
    <row r="680" spans="1:6" ht="12.75">
      <c r="A680" s="153" t="s">
        <v>33</v>
      </c>
      <c r="B680" s="167">
        <f t="shared" si="11"/>
        <v>78954.78</v>
      </c>
      <c r="C680" s="165">
        <v>17135.78</v>
      </c>
      <c r="D680" s="12">
        <v>18623</v>
      </c>
      <c r="E680" s="12">
        <v>21598</v>
      </c>
      <c r="F680" s="12">
        <v>21598</v>
      </c>
    </row>
    <row r="681" spans="1:6" ht="12.75">
      <c r="A681" s="153" t="s">
        <v>24</v>
      </c>
      <c r="B681" s="167">
        <f t="shared" si="11"/>
        <v>1665.25</v>
      </c>
      <c r="C681" s="12">
        <v>212.71</v>
      </c>
      <c r="D681" s="12">
        <v>510.83</v>
      </c>
      <c r="E681" s="12">
        <v>224.71</v>
      </c>
      <c r="F681" s="12">
        <v>717</v>
      </c>
    </row>
    <row r="682" spans="1:6" ht="12.75">
      <c r="A682" s="153" t="s">
        <v>17</v>
      </c>
      <c r="B682" s="167">
        <f t="shared" si="11"/>
        <v>0</v>
      </c>
      <c r="C682" s="12"/>
      <c r="D682" s="12"/>
      <c r="E682" s="12"/>
      <c r="F682" s="12"/>
    </row>
    <row r="683" spans="1:6" ht="12.75">
      <c r="A683" s="153" t="s">
        <v>474</v>
      </c>
      <c r="B683" s="167">
        <f t="shared" si="11"/>
        <v>4337</v>
      </c>
      <c r="C683" s="12"/>
      <c r="D683" s="12">
        <v>2890</v>
      </c>
      <c r="E683" s="12"/>
      <c r="F683" s="12">
        <v>1447</v>
      </c>
    </row>
    <row r="684" spans="1:6" ht="12.75">
      <c r="A684" s="153" t="s">
        <v>88</v>
      </c>
      <c r="B684" s="167">
        <f t="shared" si="11"/>
        <v>1115.6799999999998</v>
      </c>
      <c r="C684" s="12"/>
      <c r="D684" s="12">
        <v>392.4</v>
      </c>
      <c r="E684" s="12">
        <v>723.28</v>
      </c>
      <c r="F684" s="12"/>
    </row>
    <row r="685" spans="1:6" ht="12.75">
      <c r="A685" s="153" t="s">
        <v>373</v>
      </c>
      <c r="B685" s="167">
        <f t="shared" si="11"/>
        <v>7638</v>
      </c>
      <c r="C685" s="12"/>
      <c r="D685" s="12">
        <v>3000</v>
      </c>
      <c r="E685" s="12">
        <v>4638</v>
      </c>
      <c r="F685" s="12"/>
    </row>
    <row r="686" spans="1:6" ht="12.75">
      <c r="A686" s="153" t="s">
        <v>99</v>
      </c>
      <c r="B686" s="167">
        <f t="shared" si="11"/>
        <v>1525</v>
      </c>
      <c r="C686" s="12"/>
      <c r="D686" s="12">
        <v>1525</v>
      </c>
      <c r="E686" s="12"/>
      <c r="F686" s="12"/>
    </row>
    <row r="687" spans="1:6" ht="12.75">
      <c r="A687" s="155" t="s">
        <v>11</v>
      </c>
      <c r="B687" s="166">
        <f>B676+B678</f>
        <v>252959.5627329</v>
      </c>
      <c r="C687" s="157">
        <f>C676+C678</f>
        <v>56989.55627</v>
      </c>
      <c r="D687" s="157">
        <f>D676+D678</f>
        <v>63674.0012</v>
      </c>
      <c r="E687" s="157">
        <f>E676+E678</f>
        <v>70933.51965999999</v>
      </c>
      <c r="F687" s="12">
        <f>F676+F678</f>
        <v>61362.4856029</v>
      </c>
    </row>
    <row r="688" spans="1:6" ht="21">
      <c r="A688" s="159" t="s">
        <v>18</v>
      </c>
      <c r="B688" s="167">
        <f t="shared" si="11"/>
        <v>0</v>
      </c>
      <c r="C688" s="12"/>
      <c r="D688" s="12"/>
      <c r="E688" s="12"/>
      <c r="F688" s="12"/>
    </row>
    <row r="689" spans="1:6" ht="12.75">
      <c r="A689" s="153" t="s">
        <v>23</v>
      </c>
      <c r="B689" s="167">
        <f t="shared" si="11"/>
        <v>89363.17107</v>
      </c>
      <c r="C689" s="165">
        <f>5.3352*C671</f>
        <v>19442.00232</v>
      </c>
      <c r="D689" s="12">
        <f>6.1735*C671</f>
        <v>22496.851349999997</v>
      </c>
      <c r="E689" s="12">
        <f>6.4099*E671</f>
        <v>23358.316590000002</v>
      </c>
      <c r="F689" s="12">
        <f>6.6041*F671</f>
        <v>24066.000809999998</v>
      </c>
    </row>
    <row r="690" spans="1:6" ht="22.5">
      <c r="A690" s="153" t="s">
        <v>375</v>
      </c>
      <c r="B690" s="167">
        <f t="shared" si="11"/>
        <v>47520</v>
      </c>
      <c r="C690" s="12"/>
      <c r="D690" s="12"/>
      <c r="E690" s="12">
        <v>47520</v>
      </c>
      <c r="F690" s="12"/>
    </row>
    <row r="691" spans="1:6" ht="12.75">
      <c r="A691" s="153" t="s">
        <v>376</v>
      </c>
      <c r="B691" s="167">
        <f t="shared" si="11"/>
        <v>15000</v>
      </c>
      <c r="C691" s="12"/>
      <c r="D691" s="12"/>
      <c r="E691" s="12">
        <v>15000</v>
      </c>
      <c r="F691" s="12"/>
    </row>
    <row r="692" spans="1:6" ht="12.75">
      <c r="A692" s="153" t="s">
        <v>30</v>
      </c>
      <c r="B692" s="167">
        <f t="shared" si="11"/>
        <v>38584</v>
      </c>
      <c r="C692" s="12">
        <v>2829</v>
      </c>
      <c r="D692" s="12">
        <v>11196</v>
      </c>
      <c r="E692" s="12">
        <v>15288</v>
      </c>
      <c r="F692" s="12">
        <v>9271</v>
      </c>
    </row>
    <row r="693" spans="1:6" ht="12.75">
      <c r="A693" s="153" t="s">
        <v>28</v>
      </c>
      <c r="B693" s="167">
        <f t="shared" si="11"/>
        <v>713</v>
      </c>
      <c r="C693" s="12"/>
      <c r="D693" s="12"/>
      <c r="E693" s="12"/>
      <c r="F693" s="12">
        <v>713</v>
      </c>
    </row>
    <row r="694" spans="1:6" ht="12.75">
      <c r="A694" s="153" t="s">
        <v>41</v>
      </c>
      <c r="B694" s="167">
        <f t="shared" si="11"/>
        <v>2228</v>
      </c>
      <c r="C694" s="12">
        <v>1347</v>
      </c>
      <c r="D694" s="12"/>
      <c r="E694" s="12">
        <v>881</v>
      </c>
      <c r="F694" s="12"/>
    </row>
    <row r="695" spans="1:6" ht="12.75">
      <c r="A695" s="153" t="s">
        <v>50</v>
      </c>
      <c r="B695" s="167">
        <f t="shared" si="11"/>
        <v>7737.9</v>
      </c>
      <c r="C695" s="12">
        <v>3509.9</v>
      </c>
      <c r="D695" s="12">
        <v>3918</v>
      </c>
      <c r="E695" s="12"/>
      <c r="F695" s="12">
        <v>310</v>
      </c>
    </row>
    <row r="696" spans="1:6" ht="22.5">
      <c r="A696" s="153" t="s">
        <v>225</v>
      </c>
      <c r="B696" s="167">
        <f t="shared" si="11"/>
        <v>519.83</v>
      </c>
      <c r="C696" s="12">
        <v>519.83</v>
      </c>
      <c r="D696" s="12"/>
      <c r="E696" s="12"/>
      <c r="F696" s="12"/>
    </row>
    <row r="697" spans="1:6" ht="12.75">
      <c r="A697" s="153" t="s">
        <v>374</v>
      </c>
      <c r="B697" s="167">
        <f t="shared" si="11"/>
        <v>57</v>
      </c>
      <c r="C697" s="12"/>
      <c r="D697" s="12"/>
      <c r="E697" s="12">
        <v>57</v>
      </c>
      <c r="F697" s="12"/>
    </row>
    <row r="698" spans="1:6" ht="12.75">
      <c r="A698" s="153" t="s">
        <v>473</v>
      </c>
      <c r="B698" s="167">
        <f t="shared" si="11"/>
        <v>44714</v>
      </c>
      <c r="C698" s="12"/>
      <c r="D698" s="12"/>
      <c r="E698" s="12"/>
      <c r="F698" s="12">
        <v>44714</v>
      </c>
    </row>
    <row r="699" spans="1:6" ht="12.75">
      <c r="A699" s="153" t="s">
        <v>453</v>
      </c>
      <c r="B699" s="167">
        <f t="shared" si="11"/>
        <v>916</v>
      </c>
      <c r="C699" s="12"/>
      <c r="D699" s="12"/>
      <c r="E699" s="12"/>
      <c r="F699" s="12">
        <v>916</v>
      </c>
    </row>
    <row r="700" spans="1:6" ht="12.75">
      <c r="A700" s="153" t="s">
        <v>47</v>
      </c>
      <c r="B700" s="167">
        <f t="shared" si="11"/>
        <v>130</v>
      </c>
      <c r="C700" s="12"/>
      <c r="D700" s="12"/>
      <c r="E700" s="12"/>
      <c r="F700" s="12">
        <v>130</v>
      </c>
    </row>
    <row r="701" spans="1:6" ht="19.5" customHeight="1">
      <c r="A701" s="153" t="s">
        <v>457</v>
      </c>
      <c r="B701" s="167">
        <f t="shared" si="11"/>
        <v>10000</v>
      </c>
      <c r="C701" s="12"/>
      <c r="D701" s="12"/>
      <c r="E701" s="12"/>
      <c r="F701" s="12">
        <v>10000</v>
      </c>
    </row>
    <row r="702" spans="1:6" ht="21.75" customHeight="1">
      <c r="A702" s="153" t="s">
        <v>572</v>
      </c>
      <c r="B702" s="167">
        <f t="shared" si="11"/>
        <v>374</v>
      </c>
      <c r="C702" s="12"/>
      <c r="D702" s="12"/>
      <c r="E702" s="12"/>
      <c r="F702" s="30">
        <v>374</v>
      </c>
    </row>
    <row r="703" spans="1:6" ht="12.75">
      <c r="A703" s="153" t="s">
        <v>235</v>
      </c>
      <c r="B703" s="167">
        <f t="shared" si="11"/>
        <v>2710.1</v>
      </c>
      <c r="C703" s="12">
        <v>2710.1</v>
      </c>
      <c r="D703" s="12"/>
      <c r="E703" s="12"/>
      <c r="F703" s="12"/>
    </row>
    <row r="704" spans="1:6" ht="12.75">
      <c r="A704" s="153" t="s">
        <v>146</v>
      </c>
      <c r="B704" s="167">
        <f t="shared" si="11"/>
        <v>14424</v>
      </c>
      <c r="C704" s="12">
        <v>14424</v>
      </c>
      <c r="D704" s="12"/>
      <c r="E704" s="12"/>
      <c r="F704" s="12"/>
    </row>
    <row r="705" spans="1:6" ht="12.75">
      <c r="A705" s="155" t="s">
        <v>11</v>
      </c>
      <c r="B705" s="166">
        <f>SUM(B689:B704)</f>
        <v>274991.00107</v>
      </c>
      <c r="C705" s="166">
        <f>SUM(C689:C704)</f>
        <v>44781.83232</v>
      </c>
      <c r="D705" s="166">
        <f>SUM(D689:D704)</f>
        <v>37610.85135</v>
      </c>
      <c r="E705" s="166">
        <f>SUM(E689:E704)</f>
        <v>102104.31659</v>
      </c>
      <c r="F705" s="166">
        <f>SUM(F689:F704)</f>
        <v>90494.00081</v>
      </c>
    </row>
    <row r="706" spans="1:6" ht="12.75">
      <c r="A706" s="155" t="s">
        <v>19</v>
      </c>
      <c r="B706" s="167">
        <f t="shared" si="11"/>
        <v>0</v>
      </c>
      <c r="C706" s="12"/>
      <c r="D706" s="12"/>
      <c r="E706" s="12"/>
      <c r="F706" s="12"/>
    </row>
    <row r="707" spans="1:6" ht="12.75">
      <c r="A707" s="153" t="s">
        <v>38</v>
      </c>
      <c r="B707" s="167">
        <f t="shared" si="11"/>
        <v>3063.3507153</v>
      </c>
      <c r="C707" s="12">
        <f>0.218666*C671</f>
        <v>796.8407705999999</v>
      </c>
      <c r="D707" s="12">
        <f>0.210458*C671</f>
        <v>766.9299978</v>
      </c>
      <c r="E707" s="12">
        <f>0.167241*E671</f>
        <v>609.4429281</v>
      </c>
      <c r="F707" s="12">
        <f>0.244268*F671</f>
        <v>890.1370188000001</v>
      </c>
    </row>
    <row r="708" spans="1:6" ht="12.75">
      <c r="A708" s="153" t="s">
        <v>39</v>
      </c>
      <c r="B708" s="167">
        <f t="shared" si="11"/>
        <v>6074.4195279</v>
      </c>
      <c r="C708" s="12">
        <f>0.306583*C671</f>
        <v>1117.2191103</v>
      </c>
      <c r="D708" s="12">
        <f>0.0733554*C671</f>
        <v>267.31441314</v>
      </c>
      <c r="E708" s="12">
        <f>0.536065*E671</f>
        <v>1953.4744665</v>
      </c>
      <c r="F708" s="12">
        <f>0.7509156*F671</f>
        <v>2736.41153796</v>
      </c>
    </row>
    <row r="709" spans="1:6" ht="12.75">
      <c r="A709" s="153" t="s">
        <v>32</v>
      </c>
      <c r="B709" s="167">
        <f t="shared" si="11"/>
        <v>0</v>
      </c>
      <c r="C709" s="12"/>
      <c r="D709" s="12"/>
      <c r="E709" s="12"/>
      <c r="F709" s="12"/>
    </row>
    <row r="710" spans="1:6" ht="12.75">
      <c r="A710" s="153" t="s">
        <v>37</v>
      </c>
      <c r="B710" s="167">
        <f t="shared" si="11"/>
        <v>7847.7690466799995</v>
      </c>
      <c r="C710" s="12">
        <f>0.70476*C671</f>
        <v>2568.215916</v>
      </c>
      <c r="D710" s="12">
        <f>0.3731258*C671</f>
        <v>1359.70772778</v>
      </c>
      <c r="E710" s="12">
        <f>0.553205*E671</f>
        <v>2015.9343404999997</v>
      </c>
      <c r="F710" s="12">
        <f>0.522464*F671</f>
        <v>1903.9110624</v>
      </c>
    </row>
    <row r="711" spans="1:6" ht="12.75">
      <c r="A711" s="153" t="s">
        <v>20</v>
      </c>
      <c r="B711" s="167">
        <f t="shared" si="11"/>
        <v>2901.8988648</v>
      </c>
      <c r="C711" s="12"/>
      <c r="D711" s="12">
        <f>0.158142*C671</f>
        <v>576.2852622</v>
      </c>
      <c r="E711" s="12">
        <f>0.60489*E671</f>
        <v>2204.279649</v>
      </c>
      <c r="F711" s="12">
        <f>0.033296*F671</f>
        <v>121.3339536</v>
      </c>
    </row>
    <row r="712" spans="1:6" ht="12.75">
      <c r="A712" s="156" t="s">
        <v>11</v>
      </c>
      <c r="B712" s="166">
        <f t="shared" si="11"/>
        <v>19887.43815468</v>
      </c>
      <c r="C712" s="157">
        <f>C707+C708+C709+C710+C711</f>
        <v>4482.2757968999995</v>
      </c>
      <c r="D712" s="157">
        <f>SUM(D707:D711)</f>
        <v>2970.2374009200003</v>
      </c>
      <c r="E712" s="157">
        <f>SUM(E707:E711)</f>
        <v>6783.1313841</v>
      </c>
      <c r="F712" s="12">
        <f>SUM(F707:F711)</f>
        <v>5651.79357276</v>
      </c>
    </row>
    <row r="713" spans="1:6" ht="12.75">
      <c r="A713" s="153" t="s">
        <v>101</v>
      </c>
      <c r="B713" s="167">
        <f t="shared" si="11"/>
        <v>2378.0232975999998</v>
      </c>
      <c r="C713" s="157">
        <f>0.0644*C671</f>
        <v>234.68004</v>
      </c>
      <c r="D713" s="12">
        <v>202</v>
      </c>
      <c r="E713" s="12">
        <f>0.10264*E671</f>
        <v>374.030424</v>
      </c>
      <c r="F713" s="12">
        <f>0.430096*F671</f>
        <v>1567.3128336</v>
      </c>
    </row>
    <row r="714" spans="1:6" ht="26.25" customHeight="1">
      <c r="A714" s="161" t="s">
        <v>21</v>
      </c>
      <c r="B714" s="166">
        <f t="shared" si="11"/>
        <v>550216.02525518</v>
      </c>
      <c r="C714" s="157">
        <f>C687+C705+C712+C713</f>
        <v>106488.3444269</v>
      </c>
      <c r="D714" s="157">
        <f>D687+D705+D712+D713</f>
        <v>104457.08995092</v>
      </c>
      <c r="E714" s="157">
        <f>E687+E705+E712+E713</f>
        <v>180194.9980581</v>
      </c>
      <c r="F714" s="12">
        <f>F687+F705+F712+F713</f>
        <v>159075.59281926003</v>
      </c>
    </row>
    <row r="715" spans="1:6" ht="39" customHeight="1">
      <c r="A715" s="161" t="s">
        <v>22</v>
      </c>
      <c r="B715" s="162">
        <f>B714/12/B671</f>
        <v>12.582348299424183</v>
      </c>
      <c r="C715" s="14">
        <f>C714/C671/3</f>
        <v>9.740708215736854</v>
      </c>
      <c r="D715" s="14">
        <f>D714/3/C671</f>
        <v>9.554905184720507</v>
      </c>
      <c r="E715" s="14">
        <f>E714/3/C671</f>
        <v>16.48280764871985</v>
      </c>
      <c r="F715" s="14">
        <f>F714/3/C671</f>
        <v>14.550972148519527</v>
      </c>
    </row>
    <row r="716" spans="1:6" ht="12.75">
      <c r="A716" s="163" t="s">
        <v>34</v>
      </c>
      <c r="B716" s="164">
        <f>B674-B714</f>
        <v>-138603.36525517993</v>
      </c>
      <c r="C716" s="165">
        <f>C674-C714</f>
        <v>-12155.534426900005</v>
      </c>
      <c r="D716" s="165">
        <f>D674-D714-12155</f>
        <v>-8578.439950920001</v>
      </c>
      <c r="E716" s="165">
        <f>E674-E714-8578</f>
        <v>-50144.1880581</v>
      </c>
      <c r="F716" s="165">
        <f>F674-F714-50144</f>
        <v>-138602.20281926</v>
      </c>
    </row>
    <row r="717" spans="1:6" ht="12.75">
      <c r="A717" s="29" t="s">
        <v>44</v>
      </c>
      <c r="B717" s="29"/>
      <c r="C717" s="29"/>
      <c r="D717" s="29"/>
      <c r="E717" s="29"/>
      <c r="F717" s="29"/>
    </row>
    <row r="718" spans="1:6" ht="12.75">
      <c r="A718" s="29" t="s">
        <v>45</v>
      </c>
      <c r="B718" s="29"/>
      <c r="C718" s="29"/>
      <c r="D718" s="29"/>
      <c r="E718" s="29"/>
      <c r="F718" s="29"/>
    </row>
    <row r="719" spans="1:6" ht="10.5" customHeight="1">
      <c r="A719" s="29" t="s">
        <v>579</v>
      </c>
      <c r="B719" s="29"/>
      <c r="C719" s="29"/>
      <c r="D719" s="29"/>
      <c r="E719" s="29"/>
      <c r="F719" s="29"/>
    </row>
    <row r="720" spans="1:6" ht="5.25" customHeight="1" hidden="1">
      <c r="A720" s="29"/>
      <c r="B720" s="29"/>
      <c r="C720" s="29"/>
      <c r="D720" s="29"/>
      <c r="E720" s="29"/>
      <c r="F720" s="29"/>
    </row>
    <row r="721" spans="1:6" ht="12.75">
      <c r="A721" s="120" t="s">
        <v>35</v>
      </c>
      <c r="B721" s="120"/>
      <c r="C721" s="29"/>
      <c r="D721" s="29"/>
      <c r="E721" s="29"/>
      <c r="F721" s="29"/>
    </row>
    <row r="722" spans="1:6" ht="12.75">
      <c r="A722" s="29" t="s">
        <v>616</v>
      </c>
      <c r="B722" s="29"/>
      <c r="C722" s="29"/>
      <c r="D722" s="29"/>
      <c r="E722" s="29"/>
      <c r="F722" s="29"/>
    </row>
    <row r="723" spans="1:6" ht="12.75">
      <c r="A723" s="29" t="s">
        <v>595</v>
      </c>
      <c r="B723" s="29"/>
      <c r="C723" s="29"/>
      <c r="D723" s="29"/>
      <c r="E723" s="29" t="s">
        <v>340</v>
      </c>
      <c r="F723" s="29"/>
    </row>
    <row r="724" spans="1:6" ht="12.75">
      <c r="A724" s="10" t="s">
        <v>1</v>
      </c>
      <c r="B724" s="10" t="s">
        <v>11</v>
      </c>
      <c r="C724" s="10" t="s">
        <v>86</v>
      </c>
      <c r="D724" s="10" t="s">
        <v>87</v>
      </c>
      <c r="E724" s="10" t="s">
        <v>120</v>
      </c>
      <c r="F724" s="10" t="s">
        <v>141</v>
      </c>
    </row>
    <row r="725" spans="1:6" ht="11.25" customHeight="1">
      <c r="A725" s="22" t="s">
        <v>6</v>
      </c>
      <c r="B725" s="22"/>
      <c r="C725" s="10"/>
      <c r="D725" s="5"/>
      <c r="E725" s="5"/>
      <c r="F725" s="5"/>
    </row>
    <row r="726" spans="1:6" ht="10.5" customHeight="1">
      <c r="A726" s="5" t="s">
        <v>2</v>
      </c>
      <c r="B726" s="5"/>
      <c r="C726" s="10">
        <v>5</v>
      </c>
      <c r="D726" s="5"/>
      <c r="E726" s="5"/>
      <c r="F726" s="5"/>
    </row>
    <row r="727" spans="1:6" ht="9.75" customHeight="1">
      <c r="A727" s="5" t="s">
        <v>3</v>
      </c>
      <c r="B727" s="5"/>
      <c r="C727" s="10">
        <v>6</v>
      </c>
      <c r="D727" s="5"/>
      <c r="E727" s="5"/>
      <c r="F727" s="5"/>
    </row>
    <row r="728" spans="1:6" ht="12.75">
      <c r="A728" s="5" t="s">
        <v>4</v>
      </c>
      <c r="B728" s="5"/>
      <c r="C728" s="10">
        <v>61</v>
      </c>
      <c r="D728" s="5"/>
      <c r="E728" s="5"/>
      <c r="F728" s="5"/>
    </row>
    <row r="729" spans="1:6" ht="12.75">
      <c r="A729" s="5" t="s">
        <v>5</v>
      </c>
      <c r="B729" s="10">
        <v>3605.33</v>
      </c>
      <c r="C729" s="10">
        <v>3605.33</v>
      </c>
      <c r="D729" s="10">
        <v>3605.33</v>
      </c>
      <c r="E729" s="10">
        <v>3605.33</v>
      </c>
      <c r="F729" s="10">
        <v>3605.33</v>
      </c>
    </row>
    <row r="730" spans="1:6" ht="24">
      <c r="A730" s="150" t="s">
        <v>7</v>
      </c>
      <c r="B730" s="150"/>
      <c r="C730" s="5" t="s">
        <v>36</v>
      </c>
      <c r="D730" s="5"/>
      <c r="E730" s="5"/>
      <c r="F730" s="5"/>
    </row>
    <row r="731" spans="1:6" ht="24">
      <c r="A731" s="151" t="s">
        <v>8</v>
      </c>
      <c r="B731" s="6">
        <f>C731+D731+E731+F731</f>
        <v>418262.91</v>
      </c>
      <c r="C731" s="10">
        <v>97829.17</v>
      </c>
      <c r="D731" s="5">
        <v>108115.44</v>
      </c>
      <c r="E731" s="5">
        <v>114991.85</v>
      </c>
      <c r="F731" s="5">
        <v>97326.45</v>
      </c>
    </row>
    <row r="732" spans="1:6" ht="22.5">
      <c r="A732" s="153" t="s">
        <v>9</v>
      </c>
      <c r="B732" s="6">
        <f>C732+D732+E732+F732</f>
        <v>20755.83</v>
      </c>
      <c r="C732" s="10">
        <v>4662.54</v>
      </c>
      <c r="D732" s="5">
        <v>2256.07</v>
      </c>
      <c r="E732" s="5">
        <v>6918.61</v>
      </c>
      <c r="F732" s="5">
        <v>6918.61</v>
      </c>
    </row>
    <row r="733" spans="1:6" ht="12.75">
      <c r="A733" s="153" t="s">
        <v>10</v>
      </c>
      <c r="B733" s="6">
        <f>C733+D733+E733+F733</f>
        <v>0</v>
      </c>
      <c r="C733" s="10">
        <v>0</v>
      </c>
      <c r="D733" s="5">
        <v>0</v>
      </c>
      <c r="E733" s="5"/>
      <c r="F733" s="5"/>
    </row>
    <row r="734" spans="1:6" ht="12.75">
      <c r="A734" s="5" t="s">
        <v>11</v>
      </c>
      <c r="B734" s="150">
        <f>C734+D734+E734+F734</f>
        <v>439018.74</v>
      </c>
      <c r="C734" s="22">
        <f>C731+C732+C733</f>
        <v>102491.70999999999</v>
      </c>
      <c r="D734" s="155">
        <f>SUM(D731:D733)</f>
        <v>110371.51000000001</v>
      </c>
      <c r="E734" s="155">
        <f>SUM(E731:E733)</f>
        <v>121910.46</v>
      </c>
      <c r="F734" s="155">
        <f>SUM(F731:F733)</f>
        <v>104245.06</v>
      </c>
    </row>
    <row r="735" spans="1:6" ht="18" customHeight="1">
      <c r="A735" s="150" t="s">
        <v>12</v>
      </c>
      <c r="B735" s="150"/>
      <c r="C735" s="5"/>
      <c r="D735" s="5"/>
      <c r="E735" s="5"/>
      <c r="F735" s="5"/>
    </row>
    <row r="736" spans="1:7" ht="12.75">
      <c r="A736" s="156" t="s">
        <v>13</v>
      </c>
      <c r="B736" s="166">
        <f>C736+D736+E736+F736</f>
        <v>113845.39364477</v>
      </c>
      <c r="C736" s="157">
        <f>7.5947*C729</f>
        <v>27381.399750999997</v>
      </c>
      <c r="D736" s="157">
        <f>7.632*C729</f>
        <v>27515.878559999997</v>
      </c>
      <c r="E736" s="157">
        <f>8.5526*E729</f>
        <v>30834.945358</v>
      </c>
      <c r="F736" s="157">
        <f>7.797669*F729</f>
        <v>28113.16997577</v>
      </c>
      <c r="G736" s="8"/>
    </row>
    <row r="737" spans="1:6" ht="17.25" customHeight="1">
      <c r="A737" s="156" t="s">
        <v>14</v>
      </c>
      <c r="B737" s="167">
        <f aca="true" t="shared" si="12" ref="B737:B774">C737+D737+E737+F737</f>
        <v>0</v>
      </c>
      <c r="C737" s="12"/>
      <c r="D737" s="12"/>
      <c r="E737" s="12"/>
      <c r="F737" s="12"/>
    </row>
    <row r="738" spans="1:6" ht="12.75">
      <c r="A738" s="153" t="s">
        <v>15</v>
      </c>
      <c r="B738" s="167">
        <f t="shared" si="12"/>
        <v>136734.44</v>
      </c>
      <c r="C738" s="12">
        <f>C739+C741</f>
        <v>29362.94</v>
      </c>
      <c r="D738" s="12">
        <f>D739+D741+D742+D743+D744+D745+D746</f>
        <v>33516.4</v>
      </c>
      <c r="E738" s="12">
        <f>E739+E741+E742+E743+E744+E745+E746</f>
        <v>41020.39</v>
      </c>
      <c r="F738" s="12">
        <f>F739+F741+F742+F743+F744+F745+F746</f>
        <v>32834.71</v>
      </c>
    </row>
    <row r="739" spans="1:6" ht="12.75">
      <c r="A739" s="158" t="s">
        <v>16</v>
      </c>
      <c r="B739" s="167">
        <f t="shared" si="12"/>
        <v>121448</v>
      </c>
      <c r="C739" s="165">
        <v>29150</v>
      </c>
      <c r="D739" s="12">
        <v>27566</v>
      </c>
      <c r="E739" s="12">
        <f>34047</f>
        <v>34047</v>
      </c>
      <c r="F739" s="12">
        <v>30685</v>
      </c>
    </row>
    <row r="740" spans="1:6" ht="12.75">
      <c r="A740" s="153" t="s">
        <v>33</v>
      </c>
      <c r="B740" s="167">
        <f t="shared" si="12"/>
        <v>79246.64</v>
      </c>
      <c r="C740" s="165">
        <v>17310.64</v>
      </c>
      <c r="D740" s="12">
        <v>18740</v>
      </c>
      <c r="E740" s="12">
        <v>21598</v>
      </c>
      <c r="F740" s="12">
        <v>21598</v>
      </c>
    </row>
    <row r="741" spans="1:6" ht="12.75">
      <c r="A741" s="153" t="s">
        <v>24</v>
      </c>
      <c r="B741" s="167">
        <f t="shared" si="12"/>
        <v>2117.1400000000003</v>
      </c>
      <c r="C741" s="12">
        <v>212.94</v>
      </c>
      <c r="D741" s="12">
        <v>512</v>
      </c>
      <c r="E741" s="12">
        <v>682.49</v>
      </c>
      <c r="F741" s="12">
        <v>709.71</v>
      </c>
    </row>
    <row r="742" spans="1:6" ht="12.75">
      <c r="A742" s="153" t="s">
        <v>17</v>
      </c>
      <c r="B742" s="167">
        <f t="shared" si="12"/>
        <v>0</v>
      </c>
      <c r="C742" s="12"/>
      <c r="D742" s="12"/>
      <c r="E742" s="12"/>
      <c r="F742" s="12"/>
    </row>
    <row r="743" spans="1:6" ht="12.75">
      <c r="A743" s="153" t="s">
        <v>263</v>
      </c>
      <c r="B743" s="167">
        <f t="shared" si="12"/>
        <v>5720.8</v>
      </c>
      <c r="C743" s="12"/>
      <c r="D743" s="12">
        <v>2890.4</v>
      </c>
      <c r="E743" s="12">
        <v>1390.4</v>
      </c>
      <c r="F743" s="12">
        <v>1440</v>
      </c>
    </row>
    <row r="744" spans="1:6" ht="12.75">
      <c r="A744" s="153" t="s">
        <v>88</v>
      </c>
      <c r="B744" s="167">
        <f t="shared" si="12"/>
        <v>654.5</v>
      </c>
      <c r="C744" s="12"/>
      <c r="D744" s="12">
        <v>392</v>
      </c>
      <c r="E744" s="12">
        <v>262.5</v>
      </c>
      <c r="F744" s="12"/>
    </row>
    <row r="745" spans="1:6" ht="12.75">
      <c r="A745" s="153" t="s">
        <v>442</v>
      </c>
      <c r="B745" s="167">
        <f t="shared" si="12"/>
        <v>6794</v>
      </c>
      <c r="C745" s="12"/>
      <c r="D745" s="12">
        <v>2156</v>
      </c>
      <c r="E745" s="12">
        <v>4638</v>
      </c>
      <c r="F745" s="12"/>
    </row>
    <row r="746" spans="1:6" ht="12.75">
      <c r="A746" s="153" t="s">
        <v>99</v>
      </c>
      <c r="B746" s="167">
        <f t="shared" si="12"/>
        <v>0</v>
      </c>
      <c r="C746" s="12"/>
      <c r="D746" s="12"/>
      <c r="E746" s="12"/>
      <c r="F746" s="12"/>
    </row>
    <row r="747" spans="1:6" ht="12.75">
      <c r="A747" s="155" t="s">
        <v>11</v>
      </c>
      <c r="B747" s="166">
        <f t="shared" si="12"/>
        <v>250579.83364477003</v>
      </c>
      <c r="C747" s="157">
        <f>C736+C738</f>
        <v>56744.33975099999</v>
      </c>
      <c r="D747" s="157">
        <f>D736+D738</f>
        <v>61032.27856</v>
      </c>
      <c r="E747" s="157">
        <f>E736+E738</f>
        <v>71855.335358</v>
      </c>
      <c r="F747" s="12">
        <f>F736+F738</f>
        <v>60947.87997577</v>
      </c>
    </row>
    <row r="748" spans="1:6" ht="19.5" customHeight="1">
      <c r="A748" s="159" t="s">
        <v>18</v>
      </c>
      <c r="B748" s="167">
        <f t="shared" si="12"/>
        <v>0</v>
      </c>
      <c r="C748" s="12"/>
      <c r="D748" s="12"/>
      <c r="E748" s="12"/>
      <c r="F748" s="12"/>
    </row>
    <row r="749" spans="1:6" ht="12.75">
      <c r="A749" s="153" t="s">
        <v>23</v>
      </c>
      <c r="B749" s="167">
        <f t="shared" si="12"/>
        <v>88412.425991</v>
      </c>
      <c r="C749" s="165">
        <f>5.3352*C729</f>
        <v>19235.156616</v>
      </c>
      <c r="D749" s="12">
        <f>6.1735*C729</f>
        <v>22257.504754999998</v>
      </c>
      <c r="E749" s="12">
        <f>6.4099*E729</f>
        <v>23109.804767</v>
      </c>
      <c r="F749" s="12">
        <f>6.6041*F729</f>
        <v>23809.959853</v>
      </c>
    </row>
    <row r="750" spans="1:6" ht="22.5">
      <c r="A750" s="153" t="s">
        <v>475</v>
      </c>
      <c r="B750" s="167">
        <f t="shared" si="12"/>
        <v>43932</v>
      </c>
      <c r="C750" s="12"/>
      <c r="D750" s="12">
        <v>11122</v>
      </c>
      <c r="E750" s="12">
        <v>23496</v>
      </c>
      <c r="F750" s="12">
        <v>9314</v>
      </c>
    </row>
    <row r="751" spans="1:6" ht="12.75">
      <c r="A751" s="153" t="s">
        <v>30</v>
      </c>
      <c r="B751" s="167">
        <f t="shared" si="12"/>
        <v>34607</v>
      </c>
      <c r="C751" s="12">
        <v>4344</v>
      </c>
      <c r="D751" s="12">
        <v>16630</v>
      </c>
      <c r="E751" s="12">
        <v>5657</v>
      </c>
      <c r="F751" s="12">
        <v>7976</v>
      </c>
    </row>
    <row r="752" spans="1:6" ht="12.75">
      <c r="A752" s="153" t="s">
        <v>28</v>
      </c>
      <c r="B752" s="167">
        <f t="shared" si="12"/>
        <v>1848</v>
      </c>
      <c r="C752" s="12">
        <v>1025</v>
      </c>
      <c r="D752" s="12">
        <v>823</v>
      </c>
      <c r="E752" s="12"/>
      <c r="F752" s="12"/>
    </row>
    <row r="753" spans="1:6" ht="12.75">
      <c r="A753" s="153" t="s">
        <v>41</v>
      </c>
      <c r="B753" s="167">
        <f t="shared" si="12"/>
        <v>2784</v>
      </c>
      <c r="C753" s="12">
        <v>1421</v>
      </c>
      <c r="D753" s="12"/>
      <c r="E753" s="12">
        <v>1363</v>
      </c>
      <c r="F753" s="12"/>
    </row>
    <row r="754" spans="1:6" ht="12.75">
      <c r="A754" s="153" t="s">
        <v>50</v>
      </c>
      <c r="B754" s="167">
        <f t="shared" si="12"/>
        <v>4270.9</v>
      </c>
      <c r="C754" s="12">
        <v>3120.9</v>
      </c>
      <c r="D754" s="12"/>
      <c r="E754" s="12"/>
      <c r="F754" s="12">
        <v>1150</v>
      </c>
    </row>
    <row r="755" spans="1:6" ht="12.75">
      <c r="A755" s="153" t="s">
        <v>52</v>
      </c>
      <c r="B755" s="167">
        <f t="shared" si="12"/>
        <v>0</v>
      </c>
      <c r="C755" s="12"/>
      <c r="D755" s="12"/>
      <c r="E755" s="12"/>
      <c r="F755" s="12"/>
    </row>
    <row r="756" spans="1:6" ht="22.5">
      <c r="A756" s="153" t="s">
        <v>225</v>
      </c>
      <c r="B756" s="167">
        <f t="shared" si="12"/>
        <v>516.88</v>
      </c>
      <c r="C756" s="12">
        <v>516.88</v>
      </c>
      <c r="D756" s="12"/>
      <c r="E756" s="12"/>
      <c r="F756" s="12"/>
    </row>
    <row r="757" spans="1:6" ht="12.75">
      <c r="A757" s="153" t="s">
        <v>377</v>
      </c>
      <c r="B757" s="167">
        <f t="shared" si="12"/>
        <v>57</v>
      </c>
      <c r="C757" s="12"/>
      <c r="D757" s="12"/>
      <c r="E757" s="12">
        <v>57</v>
      </c>
      <c r="F757" s="12"/>
    </row>
    <row r="758" spans="1:6" ht="12.75">
      <c r="A758" s="153" t="s">
        <v>236</v>
      </c>
      <c r="B758" s="167">
        <f t="shared" si="12"/>
        <v>1566</v>
      </c>
      <c r="C758" s="12">
        <v>1566</v>
      </c>
      <c r="D758" s="12"/>
      <c r="E758" s="12"/>
      <c r="F758" s="12"/>
    </row>
    <row r="759" spans="1:6" ht="12.75" customHeight="1">
      <c r="A759" s="153" t="s">
        <v>477</v>
      </c>
      <c r="B759" s="167">
        <f t="shared" si="12"/>
        <v>6</v>
      </c>
      <c r="C759" s="12">
        <v>6</v>
      </c>
      <c r="D759" s="12"/>
      <c r="E759" s="12"/>
      <c r="F759" s="30">
        <v>0</v>
      </c>
    </row>
    <row r="760" spans="1:6" ht="12.75">
      <c r="A760" s="153" t="s">
        <v>47</v>
      </c>
      <c r="B760" s="167">
        <f t="shared" si="12"/>
        <v>0</v>
      </c>
      <c r="C760" s="12"/>
      <c r="D760" s="12"/>
      <c r="E760" s="12"/>
      <c r="F760" s="12"/>
    </row>
    <row r="761" spans="1:6" ht="12.75">
      <c r="A761" s="153" t="s">
        <v>453</v>
      </c>
      <c r="B761" s="167">
        <f t="shared" si="12"/>
        <v>906</v>
      </c>
      <c r="C761" s="12"/>
      <c r="D761" s="12"/>
      <c r="E761" s="12"/>
      <c r="F761" s="12">
        <v>906</v>
      </c>
    </row>
    <row r="762" spans="1:6" ht="12.75">
      <c r="A762" s="153" t="s">
        <v>476</v>
      </c>
      <c r="B762" s="167">
        <f t="shared" si="12"/>
        <v>1500</v>
      </c>
      <c r="C762" s="12"/>
      <c r="D762" s="12"/>
      <c r="E762" s="12"/>
      <c r="F762" s="12">
        <v>1500</v>
      </c>
    </row>
    <row r="763" spans="1:6" ht="12.75">
      <c r="A763" s="153" t="s">
        <v>126</v>
      </c>
      <c r="B763" s="167">
        <f t="shared" si="12"/>
        <v>0</v>
      </c>
      <c r="C763" s="12"/>
      <c r="D763" s="12"/>
      <c r="E763" s="12"/>
      <c r="F763" s="12"/>
    </row>
    <row r="764" spans="1:6" ht="12.75">
      <c r="A764" s="153" t="s">
        <v>146</v>
      </c>
      <c r="B764" s="167">
        <f t="shared" si="12"/>
        <v>14424</v>
      </c>
      <c r="C764" s="12">
        <v>14424</v>
      </c>
      <c r="D764" s="12"/>
      <c r="E764" s="12"/>
      <c r="F764" s="12"/>
    </row>
    <row r="765" spans="1:6" ht="12.75">
      <c r="A765" s="155" t="s">
        <v>11</v>
      </c>
      <c r="B765" s="166">
        <f t="shared" si="12"/>
        <v>194830.20599100002</v>
      </c>
      <c r="C765" s="157">
        <f>SUM(C749:C764)</f>
        <v>45658.936616000006</v>
      </c>
      <c r="D765" s="157">
        <f>SUM(D749:D763)</f>
        <v>50832.504755</v>
      </c>
      <c r="E765" s="157">
        <f>SUM(E749:E764)</f>
        <v>53682.804767</v>
      </c>
      <c r="F765" s="12">
        <f>SUM(F749:F764)</f>
        <v>44655.959853</v>
      </c>
    </row>
    <row r="766" spans="1:6" ht="12.75">
      <c r="A766" s="155" t="s">
        <v>19</v>
      </c>
      <c r="B766" s="167">
        <f t="shared" si="12"/>
        <v>0</v>
      </c>
      <c r="C766" s="12"/>
      <c r="D766" s="12"/>
      <c r="E766" s="12"/>
      <c r="F766" s="12"/>
    </row>
    <row r="767" spans="1:6" ht="12.75">
      <c r="A767" s="153" t="s">
        <v>38</v>
      </c>
      <c r="B767" s="167">
        <f t="shared" si="12"/>
        <v>3030.75937389</v>
      </c>
      <c r="C767" s="12">
        <f>0.218666*C729</f>
        <v>788.36308978</v>
      </c>
      <c r="D767" s="12">
        <f>0.210458*C729</f>
        <v>758.77054114</v>
      </c>
      <c r="E767" s="12">
        <f>0.167241*E729</f>
        <v>602.95899453</v>
      </c>
      <c r="F767" s="12">
        <f>0.244268*F729</f>
        <v>880.66674844</v>
      </c>
    </row>
    <row r="768" spans="1:6" ht="12.75">
      <c r="A768" s="153" t="s">
        <v>39</v>
      </c>
      <c r="B768" s="167">
        <f t="shared" si="12"/>
        <v>6009.7930782700005</v>
      </c>
      <c r="C768" s="12">
        <f>0.306583*C729</f>
        <v>1105.33288739</v>
      </c>
      <c r="D768" s="12">
        <f>0.0733554*C729</f>
        <v>264.470424282</v>
      </c>
      <c r="E768" s="12">
        <f>0.536065*E729</f>
        <v>1932.69122645</v>
      </c>
      <c r="F768" s="12">
        <f>0.7509156*F729</f>
        <v>2707.298540148</v>
      </c>
    </row>
    <row r="769" spans="1:6" ht="12.75">
      <c r="A769" s="153" t="s">
        <v>32</v>
      </c>
      <c r="B769" s="167">
        <f t="shared" si="12"/>
        <v>0</v>
      </c>
      <c r="C769" s="12"/>
      <c r="D769" s="12"/>
      <c r="E769" s="12"/>
      <c r="F769" s="12"/>
    </row>
    <row r="770" spans="1:6" ht="12.75">
      <c r="A770" s="153" t="s">
        <v>37</v>
      </c>
      <c r="B770" s="167">
        <f t="shared" si="12"/>
        <v>7764.275727084</v>
      </c>
      <c r="C770" s="12">
        <f>0.70476*C729</f>
        <v>2540.8923708</v>
      </c>
      <c r="D770" s="12">
        <f>0.3731258*C729</f>
        <v>1345.241640514</v>
      </c>
      <c r="E770" s="12">
        <f>0.553205*E729</f>
        <v>1994.4865826499997</v>
      </c>
      <c r="F770" s="12">
        <f>0.522464*F729</f>
        <v>1883.65513312</v>
      </c>
    </row>
    <row r="771" spans="1:6" ht="12.75">
      <c r="A771" s="153" t="s">
        <v>20</v>
      </c>
      <c r="B771" s="167">
        <f t="shared" si="12"/>
        <v>2871.02522824</v>
      </c>
      <c r="C771" s="12"/>
      <c r="D771" s="12">
        <f>0.158142*C729</f>
        <v>570.15409686</v>
      </c>
      <c r="E771" s="12">
        <f>0.60489*E729</f>
        <v>2180.8280637000003</v>
      </c>
      <c r="F771" s="12">
        <f>0.033296*F729</f>
        <v>120.04306768</v>
      </c>
    </row>
    <row r="772" spans="1:6" ht="12.75">
      <c r="A772" s="156" t="s">
        <v>11</v>
      </c>
      <c r="B772" s="166">
        <f t="shared" si="12"/>
        <v>19675.853407484</v>
      </c>
      <c r="C772" s="157">
        <f>C767+C768+C769+C770+C771</f>
        <v>4434.5883479700005</v>
      </c>
      <c r="D772" s="157">
        <f>SUM(D767:D771)</f>
        <v>2938.6367027960005</v>
      </c>
      <c r="E772" s="157">
        <f>SUM(E767:E771)</f>
        <v>6710.96486733</v>
      </c>
      <c r="F772" s="12">
        <f>SUM(F767:F771)</f>
        <v>5591.663489388</v>
      </c>
    </row>
    <row r="773" spans="1:6" ht="12.75">
      <c r="A773" s="153" t="s">
        <v>101</v>
      </c>
      <c r="B773" s="167">
        <f t="shared" si="12"/>
        <v>2352.87233488</v>
      </c>
      <c r="C773" s="157">
        <f>0.0644*C729</f>
        <v>232.18325199999998</v>
      </c>
      <c r="D773" s="157">
        <v>200</v>
      </c>
      <c r="E773" s="12">
        <f>0.10264*E729</f>
        <v>370.05107119999997</v>
      </c>
      <c r="F773" s="12">
        <f>0.430096*F729</f>
        <v>1550.6380116799999</v>
      </c>
    </row>
    <row r="774" spans="1:6" ht="22.5" customHeight="1">
      <c r="A774" s="161" t="s">
        <v>21</v>
      </c>
      <c r="B774" s="166">
        <f t="shared" si="12"/>
        <v>467438.765378134</v>
      </c>
      <c r="C774" s="157">
        <f>C747+C765+C772+C773</f>
        <v>107070.04796697</v>
      </c>
      <c r="D774" s="157">
        <f>D747+D765+D772+D773</f>
        <v>115003.42001779602</v>
      </c>
      <c r="E774" s="157">
        <f>E747+E765+E772+E773</f>
        <v>132619.15606353</v>
      </c>
      <c r="F774" s="12">
        <f>F747+F765+F772+F773</f>
        <v>112746.14132983799</v>
      </c>
    </row>
    <row r="775" spans="1:6" ht="30" customHeight="1">
      <c r="A775" s="161" t="s">
        <v>22</v>
      </c>
      <c r="B775" s="162">
        <f>B774/12/C729</f>
        <v>10.804345357617148</v>
      </c>
      <c r="C775" s="14">
        <f>C774/C729/3</f>
        <v>9.899236959998115</v>
      </c>
      <c r="D775" s="14">
        <f>D774/3/C729</f>
        <v>10.632722480123965</v>
      </c>
      <c r="E775" s="14">
        <f>E774/3/C729</f>
        <v>12.261397806722272</v>
      </c>
      <c r="F775" s="14">
        <f>F774/3/C729</f>
        <v>10.424024183624244</v>
      </c>
    </row>
    <row r="776" spans="1:6" ht="12.75">
      <c r="A776" s="163" t="s">
        <v>34</v>
      </c>
      <c r="B776" s="164">
        <f>B734-B774</f>
        <v>-28420.025378133985</v>
      </c>
      <c r="C776" s="165">
        <f>C734-C774</f>
        <v>-4578.337966970008</v>
      </c>
      <c r="D776" s="165">
        <f>D734-D774-4578</f>
        <v>-9209.910017796006</v>
      </c>
      <c r="E776" s="12">
        <f>E734-E774-9210</f>
        <v>-19918.696063530006</v>
      </c>
      <c r="F776" s="12">
        <f>F734-F774-19919</f>
        <v>-28420.081329837994</v>
      </c>
    </row>
    <row r="777" spans="1:6" ht="12.75">
      <c r="A777" s="29" t="s">
        <v>44</v>
      </c>
      <c r="B777" s="29"/>
      <c r="C777" s="29"/>
      <c r="D777" s="29"/>
      <c r="E777" s="29"/>
      <c r="F777" s="29"/>
    </row>
    <row r="778" spans="1:6" ht="12.75">
      <c r="A778" s="29" t="s">
        <v>45</v>
      </c>
      <c r="B778" s="29"/>
      <c r="C778" s="29"/>
      <c r="D778" s="29"/>
      <c r="E778" s="29"/>
      <c r="F778" s="29"/>
    </row>
    <row r="779" spans="1:6" ht="12.75">
      <c r="A779" s="29" t="s">
        <v>579</v>
      </c>
      <c r="B779" s="29"/>
      <c r="C779" s="29"/>
      <c r="D779" s="29"/>
      <c r="E779" s="29"/>
      <c r="F779" s="29"/>
    </row>
    <row r="780" spans="1:6" ht="3" customHeight="1">
      <c r="A780" s="29"/>
      <c r="B780" s="29"/>
      <c r="C780" s="29"/>
      <c r="D780" s="29"/>
      <c r="E780" s="29"/>
      <c r="F780" s="29"/>
    </row>
    <row r="781" spans="1:6" ht="12.75">
      <c r="A781" s="120" t="s">
        <v>35</v>
      </c>
      <c r="B781" s="120"/>
      <c r="C781" s="29"/>
      <c r="D781" s="29"/>
      <c r="E781" s="29"/>
      <c r="F781" s="29"/>
    </row>
    <row r="782" spans="1:6" ht="12.75">
      <c r="A782" s="29" t="s">
        <v>616</v>
      </c>
      <c r="B782" s="29"/>
      <c r="C782" s="29"/>
      <c r="D782" s="29"/>
      <c r="E782" s="29"/>
      <c r="F782" s="29"/>
    </row>
    <row r="783" spans="1:6" ht="12.75">
      <c r="A783" s="29" t="s">
        <v>596</v>
      </c>
      <c r="B783" s="29"/>
      <c r="C783" s="29"/>
      <c r="D783" s="29"/>
      <c r="E783" s="29" t="s">
        <v>340</v>
      </c>
      <c r="F783" s="29"/>
    </row>
    <row r="784" spans="1:6" ht="12.75">
      <c r="A784" s="10" t="s">
        <v>1</v>
      </c>
      <c r="B784" s="10" t="s">
        <v>11</v>
      </c>
      <c r="C784" s="10" t="s">
        <v>86</v>
      </c>
      <c r="D784" s="10" t="s">
        <v>87</v>
      </c>
      <c r="E784" s="10" t="s">
        <v>120</v>
      </c>
      <c r="F784" s="10" t="s">
        <v>141</v>
      </c>
    </row>
    <row r="785" spans="1:6" ht="12.75">
      <c r="A785" s="22" t="s">
        <v>6</v>
      </c>
      <c r="B785" s="22"/>
      <c r="C785" s="10"/>
      <c r="D785" s="5"/>
      <c r="E785" s="5"/>
      <c r="F785" s="5"/>
    </row>
    <row r="786" spans="1:6" ht="12.75">
      <c r="A786" s="5" t="s">
        <v>2</v>
      </c>
      <c r="B786" s="5"/>
      <c r="C786" s="10">
        <v>5</v>
      </c>
      <c r="D786" s="5"/>
      <c r="E786" s="5"/>
      <c r="F786" s="5"/>
    </row>
    <row r="787" spans="1:6" ht="12.75">
      <c r="A787" s="5" t="s">
        <v>3</v>
      </c>
      <c r="B787" s="5"/>
      <c r="C787" s="10">
        <v>2</v>
      </c>
      <c r="D787" s="5"/>
      <c r="E787" s="5"/>
      <c r="F787" s="5"/>
    </row>
    <row r="788" spans="1:6" ht="12.75">
      <c r="A788" s="5" t="s">
        <v>4</v>
      </c>
      <c r="B788" s="5"/>
      <c r="C788" s="10">
        <v>30</v>
      </c>
      <c r="D788" s="5"/>
      <c r="E788" s="5"/>
      <c r="F788" s="5"/>
    </row>
    <row r="789" spans="1:6" ht="12.75">
      <c r="A789" s="5" t="s">
        <v>5</v>
      </c>
      <c r="B789" s="10">
        <v>1849.2</v>
      </c>
      <c r="C789" s="10">
        <v>1849.2</v>
      </c>
      <c r="D789" s="10">
        <v>1849.2</v>
      </c>
      <c r="E789" s="10">
        <v>1849.2</v>
      </c>
      <c r="F789" s="10">
        <v>1849.2</v>
      </c>
    </row>
    <row r="790" spans="1:6" ht="24">
      <c r="A790" s="150" t="s">
        <v>7</v>
      </c>
      <c r="B790" s="150"/>
      <c r="C790" s="5" t="s">
        <v>36</v>
      </c>
      <c r="D790" s="5"/>
      <c r="E790" s="5"/>
      <c r="F790" s="5"/>
    </row>
    <row r="791" spans="1:6" ht="24">
      <c r="A791" s="151" t="s">
        <v>8</v>
      </c>
      <c r="B791" s="6">
        <f>C791+D791+E791+F791</f>
        <v>121107.81999999999</v>
      </c>
      <c r="C791" s="10">
        <v>26177.61</v>
      </c>
      <c r="D791" s="10">
        <v>31919.23</v>
      </c>
      <c r="E791" s="10">
        <v>28226.39</v>
      </c>
      <c r="F791" s="10">
        <v>34784.59</v>
      </c>
    </row>
    <row r="792" spans="1:6" ht="22.5">
      <c r="A792" s="153" t="s">
        <v>9</v>
      </c>
      <c r="B792" s="6">
        <f>C792+D792+E792+F792</f>
        <v>0</v>
      </c>
      <c r="C792" s="10">
        <v>0</v>
      </c>
      <c r="D792" s="10">
        <v>0</v>
      </c>
      <c r="E792" s="10">
        <v>0</v>
      </c>
      <c r="F792" s="10">
        <v>0</v>
      </c>
    </row>
    <row r="793" spans="1:6" ht="12.75">
      <c r="A793" s="153" t="s">
        <v>10</v>
      </c>
      <c r="B793" s="6">
        <f>C793+D793+E793+F793</f>
        <v>0</v>
      </c>
      <c r="C793" s="10">
        <v>0</v>
      </c>
      <c r="D793" s="10">
        <v>0</v>
      </c>
      <c r="E793" s="10">
        <v>0</v>
      </c>
      <c r="F793" s="10">
        <v>0</v>
      </c>
    </row>
    <row r="794" spans="1:6" ht="12.75">
      <c r="A794" s="5" t="s">
        <v>11</v>
      </c>
      <c r="B794" s="150">
        <f>C794+D794+E794+F794</f>
        <v>121107.81999999999</v>
      </c>
      <c r="C794" s="22">
        <f>C791+C792+C793</f>
        <v>26177.61</v>
      </c>
      <c r="D794" s="22">
        <f>SUM(D791:D793)</f>
        <v>31919.23</v>
      </c>
      <c r="E794" s="10">
        <f>SUM(E791:E793)</f>
        <v>28226.39</v>
      </c>
      <c r="F794" s="10">
        <f>SUM(F791:F793)</f>
        <v>34784.59</v>
      </c>
    </row>
    <row r="795" spans="1:6" ht="24">
      <c r="A795" s="150" t="s">
        <v>12</v>
      </c>
      <c r="B795" s="150"/>
      <c r="C795" s="5"/>
      <c r="D795" s="5"/>
      <c r="E795" s="5"/>
      <c r="F795" s="5"/>
    </row>
    <row r="796" spans="1:7" ht="12.75">
      <c r="A796" s="156" t="s">
        <v>13</v>
      </c>
      <c r="B796" s="166">
        <f>C796+D796+E796+F796</f>
        <v>58392.1310748</v>
      </c>
      <c r="C796" s="157">
        <f>7.5947*C789</f>
        <v>14044.11924</v>
      </c>
      <c r="D796" s="157">
        <f>7.632*C789</f>
        <v>14113.0944</v>
      </c>
      <c r="E796" s="12">
        <f>8.5526*E789</f>
        <v>15815.467920000001</v>
      </c>
      <c r="F796" s="157">
        <f>7.797669*F789</f>
        <v>14419.4495148</v>
      </c>
      <c r="G796" s="8"/>
    </row>
    <row r="797" spans="1:6" ht="21">
      <c r="A797" s="156" t="s">
        <v>14</v>
      </c>
      <c r="B797" s="167">
        <f aca="true" t="shared" si="13" ref="B797:B828">C797+D797+E797+F797</f>
        <v>0</v>
      </c>
      <c r="C797" s="12"/>
      <c r="D797" s="12"/>
      <c r="E797" s="12"/>
      <c r="F797" s="12"/>
    </row>
    <row r="798" spans="1:6" ht="12.75">
      <c r="A798" s="153" t="s">
        <v>15</v>
      </c>
      <c r="B798" s="167">
        <f t="shared" si="13"/>
        <v>103939.77</v>
      </c>
      <c r="C798" s="12">
        <f>C799+C801</f>
        <v>23660.58</v>
      </c>
      <c r="D798" s="12">
        <f>D799+D801+D802+D803+D804+D805</f>
        <v>23421.92</v>
      </c>
      <c r="E798" s="12">
        <f>E799+E801+E802+E803+E804+E805</f>
        <v>30854.27</v>
      </c>
      <c r="F798" s="12">
        <f>F799+F801+F802+F803+F804+F805</f>
        <v>26003</v>
      </c>
    </row>
    <row r="799" spans="1:6" ht="12.75">
      <c r="A799" s="158" t="s">
        <v>16</v>
      </c>
      <c r="B799" s="167">
        <f t="shared" si="13"/>
        <v>99714</v>
      </c>
      <c r="C799" s="165">
        <v>23557</v>
      </c>
      <c r="D799" s="12">
        <v>23173</v>
      </c>
      <c r="E799" s="12">
        <v>27354</v>
      </c>
      <c r="F799" s="12">
        <v>25630</v>
      </c>
    </row>
    <row r="800" spans="1:6" ht="12.75">
      <c r="A800" s="153" t="s">
        <v>33</v>
      </c>
      <c r="B800" s="167">
        <f t="shared" si="13"/>
        <v>78069.49</v>
      </c>
      <c r="C800" s="165">
        <v>17485.49</v>
      </c>
      <c r="D800" s="12">
        <v>18646</v>
      </c>
      <c r="E800" s="12">
        <v>20969</v>
      </c>
      <c r="F800" s="12">
        <v>20969</v>
      </c>
    </row>
    <row r="801" spans="1:6" ht="12.75">
      <c r="A801" s="153" t="s">
        <v>24</v>
      </c>
      <c r="B801" s="167">
        <f t="shared" si="13"/>
        <v>1055.77</v>
      </c>
      <c r="C801" s="12">
        <v>103.58</v>
      </c>
      <c r="D801" s="12">
        <v>248.92</v>
      </c>
      <c r="E801" s="12">
        <v>330.27</v>
      </c>
      <c r="F801" s="12">
        <v>373</v>
      </c>
    </row>
    <row r="802" spans="1:6" ht="12.75">
      <c r="A802" s="153" t="s">
        <v>17</v>
      </c>
      <c r="B802" s="167">
        <f t="shared" si="13"/>
        <v>0</v>
      </c>
      <c r="C802" s="12"/>
      <c r="D802" s="12"/>
      <c r="E802" s="12"/>
      <c r="F802" s="12"/>
    </row>
    <row r="803" spans="1:6" ht="12.75">
      <c r="A803" s="153" t="s">
        <v>381</v>
      </c>
      <c r="B803" s="167">
        <f t="shared" si="13"/>
        <v>3170</v>
      </c>
      <c r="C803" s="12"/>
      <c r="D803" s="12"/>
      <c r="E803" s="12">
        <v>3170</v>
      </c>
      <c r="F803" s="12"/>
    </row>
    <row r="804" spans="1:6" ht="12.75">
      <c r="A804" s="153" t="s">
        <v>88</v>
      </c>
      <c r="B804" s="167">
        <f t="shared" si="13"/>
        <v>0</v>
      </c>
      <c r="C804" s="12"/>
      <c r="D804" s="12"/>
      <c r="E804" s="12"/>
      <c r="F804" s="12"/>
    </row>
    <row r="805" spans="1:6" ht="12.75">
      <c r="A805" s="153" t="s">
        <v>263</v>
      </c>
      <c r="B805" s="167"/>
      <c r="C805" s="12"/>
      <c r="D805" s="12"/>
      <c r="E805" s="12"/>
      <c r="F805" s="12"/>
    </row>
    <row r="806" spans="1:6" ht="12.75">
      <c r="A806" s="155" t="s">
        <v>11</v>
      </c>
      <c r="B806" s="166">
        <f t="shared" si="13"/>
        <v>162331.9010748</v>
      </c>
      <c r="C806" s="157">
        <f>C796+C798</f>
        <v>37704.69924</v>
      </c>
      <c r="D806" s="157">
        <f>D798+D796</f>
        <v>37535.0144</v>
      </c>
      <c r="E806" s="12">
        <f>E796+E798</f>
        <v>46669.73792</v>
      </c>
      <c r="F806" s="12">
        <f>F796+F798</f>
        <v>40422.4495148</v>
      </c>
    </row>
    <row r="807" spans="1:6" ht="21">
      <c r="A807" s="159" t="s">
        <v>18</v>
      </c>
      <c r="B807" s="167">
        <f t="shared" si="13"/>
        <v>0</v>
      </c>
      <c r="C807" s="12"/>
      <c r="D807" s="5"/>
      <c r="E807" s="12"/>
      <c r="F807" s="12"/>
    </row>
    <row r="808" spans="1:6" ht="12.75">
      <c r="A808" s="153" t="s">
        <v>23</v>
      </c>
      <c r="B808" s="167">
        <f t="shared" si="13"/>
        <v>45347.37684</v>
      </c>
      <c r="C808" s="165">
        <f>5.3352*C789</f>
        <v>9865.851840000001</v>
      </c>
      <c r="D808" s="12">
        <f>6.1735*C789</f>
        <v>11416.0362</v>
      </c>
      <c r="E808" s="12">
        <f>6.4099*E789</f>
        <v>11853.187080000002</v>
      </c>
      <c r="F808" s="12">
        <f>6.6041*F789</f>
        <v>12212.30172</v>
      </c>
    </row>
    <row r="809" spans="1:6" ht="12.75">
      <c r="A809" s="153" t="s">
        <v>56</v>
      </c>
      <c r="B809" s="167">
        <f t="shared" si="13"/>
        <v>0</v>
      </c>
      <c r="C809" s="12"/>
      <c r="D809" s="12"/>
      <c r="E809" s="12"/>
      <c r="F809" s="12"/>
    </row>
    <row r="810" spans="1:6" ht="12.75">
      <c r="A810" s="153" t="s">
        <v>25</v>
      </c>
      <c r="B810" s="167">
        <f t="shared" si="13"/>
        <v>0</v>
      </c>
      <c r="C810" s="12"/>
      <c r="D810" s="12"/>
      <c r="E810" s="12"/>
      <c r="F810" s="12"/>
    </row>
    <row r="811" spans="1:6" ht="12.75">
      <c r="A811" s="153" t="s">
        <v>30</v>
      </c>
      <c r="B811" s="167">
        <f t="shared" si="13"/>
        <v>2505.82</v>
      </c>
      <c r="C811" s="12">
        <v>725.82</v>
      </c>
      <c r="D811" s="12">
        <v>1780</v>
      </c>
      <c r="E811" s="12"/>
      <c r="F811" s="12"/>
    </row>
    <row r="812" spans="1:6" ht="12.75">
      <c r="A812" s="153" t="s">
        <v>28</v>
      </c>
      <c r="B812" s="167">
        <f t="shared" si="13"/>
        <v>0</v>
      </c>
      <c r="C812" s="12"/>
      <c r="D812" s="12"/>
      <c r="E812" s="12"/>
      <c r="F812" s="12"/>
    </row>
    <row r="813" spans="1:6" ht="12.75">
      <c r="A813" s="153" t="s">
        <v>41</v>
      </c>
      <c r="B813" s="167">
        <f t="shared" si="13"/>
        <v>0</v>
      </c>
      <c r="C813" s="12"/>
      <c r="D813" s="12"/>
      <c r="E813" s="12"/>
      <c r="F813" s="12"/>
    </row>
    <row r="814" spans="1:6" ht="12.75">
      <c r="A814" s="153" t="s">
        <v>50</v>
      </c>
      <c r="B814" s="167">
        <f t="shared" si="13"/>
        <v>5251.15</v>
      </c>
      <c r="C814" s="12">
        <v>3189.9</v>
      </c>
      <c r="D814" s="12"/>
      <c r="E814" s="12">
        <v>2061.25</v>
      </c>
      <c r="F814" s="12"/>
    </row>
    <row r="815" spans="1:6" ht="12.75">
      <c r="A815" s="153" t="s">
        <v>52</v>
      </c>
      <c r="B815" s="167">
        <f t="shared" si="13"/>
        <v>0</v>
      </c>
      <c r="C815" s="12"/>
      <c r="D815" s="12"/>
      <c r="E815" s="12"/>
      <c r="F815" s="12"/>
    </row>
    <row r="816" spans="1:6" ht="22.5">
      <c r="A816" s="153" t="s">
        <v>225</v>
      </c>
      <c r="B816" s="167">
        <f t="shared" si="13"/>
        <v>265.04</v>
      </c>
      <c r="C816" s="12">
        <v>265.04</v>
      </c>
      <c r="D816" s="12"/>
      <c r="E816" s="12"/>
      <c r="F816" s="12"/>
    </row>
    <row r="817" spans="1:6" ht="12.75">
      <c r="A817" s="153" t="s">
        <v>27</v>
      </c>
      <c r="B817" s="167">
        <f t="shared" si="13"/>
        <v>0</v>
      </c>
      <c r="C817" s="12"/>
      <c r="D817" s="12"/>
      <c r="E817" s="12"/>
      <c r="F817" s="12"/>
    </row>
    <row r="818" spans="1:6" ht="22.5">
      <c r="A818" s="153" t="s">
        <v>457</v>
      </c>
      <c r="B818" s="167">
        <f t="shared" si="13"/>
        <v>5200</v>
      </c>
      <c r="C818" s="12"/>
      <c r="D818" s="12"/>
      <c r="E818" s="12"/>
      <c r="F818" s="12">
        <v>5200</v>
      </c>
    </row>
    <row r="819" spans="1:6" ht="12.75">
      <c r="A819" s="155" t="s">
        <v>11</v>
      </c>
      <c r="B819" s="166">
        <f>SUM(B808:B818)</f>
        <v>58569.38684</v>
      </c>
      <c r="C819" s="166">
        <f>SUM(C808:C818)</f>
        <v>14046.611840000001</v>
      </c>
      <c r="D819" s="166">
        <f>SUM(D808:D818)</f>
        <v>13196.0362</v>
      </c>
      <c r="E819" s="166">
        <f>SUM(E808:E818)</f>
        <v>13914.437080000002</v>
      </c>
      <c r="F819" s="166">
        <f>SUM(F808:F818)</f>
        <v>17412.30172</v>
      </c>
    </row>
    <row r="820" spans="1:6" ht="12.75">
      <c r="A820" s="155" t="s">
        <v>19</v>
      </c>
      <c r="B820" s="167">
        <f t="shared" si="13"/>
        <v>0</v>
      </c>
      <c r="C820" s="12"/>
      <c r="D820" s="5"/>
      <c r="E820" s="12"/>
      <c r="F820" s="12"/>
    </row>
    <row r="821" spans="1:6" ht="12.75">
      <c r="A821" s="153" t="s">
        <v>38</v>
      </c>
      <c r="B821" s="167">
        <f t="shared" si="13"/>
        <v>1554.4985436000002</v>
      </c>
      <c r="C821" s="12">
        <f>0.218666*C789</f>
        <v>404.3571672</v>
      </c>
      <c r="D821" s="12">
        <f>0.210458*C789</f>
        <v>389.1789336</v>
      </c>
      <c r="E821" s="12">
        <f>0.167241*E789</f>
        <v>309.2620572</v>
      </c>
      <c r="F821" s="12">
        <f>0.244268*F789</f>
        <v>451.70038560000006</v>
      </c>
    </row>
    <row r="822" spans="1:6" ht="12.75">
      <c r="A822" s="153" t="s">
        <v>39</v>
      </c>
      <c r="B822" s="167">
        <f t="shared" si="13"/>
        <v>3082.4666148</v>
      </c>
      <c r="C822" s="12">
        <f>0.306583*C789</f>
        <v>566.9332836</v>
      </c>
      <c r="D822" s="12">
        <f>0.0733554*C789</f>
        <v>135.64880568</v>
      </c>
      <c r="E822" s="12">
        <f>0.536065*E789</f>
        <v>991.2913980000001</v>
      </c>
      <c r="F822" s="12">
        <f>0.7509156*F789</f>
        <v>1388.59312752</v>
      </c>
    </row>
    <row r="823" spans="1:6" ht="12.75">
      <c r="A823" s="153" t="s">
        <v>32</v>
      </c>
      <c r="B823" s="167">
        <f t="shared" si="13"/>
        <v>0</v>
      </c>
      <c r="C823" s="12"/>
      <c r="D823" s="12"/>
      <c r="E823" s="12"/>
      <c r="F823" s="12"/>
    </row>
    <row r="824" spans="1:6" ht="12.75">
      <c r="A824" s="153" t="s">
        <v>37</v>
      </c>
      <c r="B824" s="167">
        <f t="shared" si="13"/>
        <v>3982.3535361600007</v>
      </c>
      <c r="C824" s="12">
        <f>0.70476*C789</f>
        <v>1303.2421920000002</v>
      </c>
      <c r="D824" s="12">
        <f>0.3731258*C789</f>
        <v>689.9842293600001</v>
      </c>
      <c r="E824" s="12">
        <f>0.553205*E789</f>
        <v>1022.986686</v>
      </c>
      <c r="F824" s="12">
        <f>0.522464*F789</f>
        <v>966.1404288000001</v>
      </c>
    </row>
    <row r="825" spans="1:6" ht="12.75">
      <c r="A825" s="153" t="s">
        <v>20</v>
      </c>
      <c r="B825" s="167">
        <f t="shared" si="13"/>
        <v>1472.5697376</v>
      </c>
      <c r="C825" s="12"/>
      <c r="D825" s="12">
        <f>0.158142*C789</f>
        <v>292.4361864</v>
      </c>
      <c r="E825" s="12">
        <f>0.60489*E789</f>
        <v>1118.562588</v>
      </c>
      <c r="F825" s="12">
        <f>0.033296*F789</f>
        <v>61.5709632</v>
      </c>
    </row>
    <row r="826" spans="1:6" ht="12.75">
      <c r="A826" s="156" t="s">
        <v>11</v>
      </c>
      <c r="B826" s="166">
        <f t="shared" si="13"/>
        <v>10091.88843216</v>
      </c>
      <c r="C826" s="157">
        <f>C821+C822+C823+C824+C825</f>
        <v>2274.5326428</v>
      </c>
      <c r="D826" s="157">
        <f>SUM(D821:D825)</f>
        <v>1507.24815504</v>
      </c>
      <c r="E826" s="12">
        <f>SUM(E821:E825)</f>
        <v>3442.1027292</v>
      </c>
      <c r="F826" s="12">
        <f>SUM(F821:F825)</f>
        <v>2868.0049051200003</v>
      </c>
    </row>
    <row r="827" spans="1:6" ht="12.75">
      <c r="A827" s="153" t="s">
        <v>101</v>
      </c>
      <c r="B827" s="167">
        <f t="shared" si="13"/>
        <v>1206.2238911999998</v>
      </c>
      <c r="C827" s="157">
        <f>0.0644*C789</f>
        <v>119.08848</v>
      </c>
      <c r="D827" s="12">
        <v>102</v>
      </c>
      <c r="E827" s="12">
        <f>0.10264*E789</f>
        <v>189.801888</v>
      </c>
      <c r="F827" s="12">
        <f>0.430096*F789</f>
        <v>795.3335232</v>
      </c>
    </row>
    <row r="828" spans="1:6" ht="33.75">
      <c r="A828" s="161" t="s">
        <v>21</v>
      </c>
      <c r="B828" s="166">
        <f t="shared" si="13"/>
        <v>232009.59835016</v>
      </c>
      <c r="C828" s="157">
        <f>C806+C819+C826+C827</f>
        <v>54144.932202799995</v>
      </c>
      <c r="D828" s="12">
        <f>D806+D819+D826+D827</f>
        <v>52340.29875504</v>
      </c>
      <c r="E828" s="12">
        <f>E806+E819+E826</f>
        <v>64026.2777292</v>
      </c>
      <c r="F828" s="12">
        <f>F806+F819+F826+F827</f>
        <v>61498.08966312001</v>
      </c>
    </row>
    <row r="829" spans="1:6" ht="33.75">
      <c r="A829" s="161" t="s">
        <v>22</v>
      </c>
      <c r="B829" s="162">
        <f>B828/12/C789</f>
        <v>10.455404064377387</v>
      </c>
      <c r="C829" s="14">
        <f>C828/C789/3</f>
        <v>9.7600642084505</v>
      </c>
      <c r="D829" s="14">
        <f>D828/3/C789</f>
        <v>9.434764358468527</v>
      </c>
      <c r="E829" s="14">
        <f>E828/3/C789</f>
        <v>11.541257071382221</v>
      </c>
      <c r="F829" s="14">
        <f>F828/3/C789</f>
        <v>11.085530619208308</v>
      </c>
    </row>
    <row r="830" spans="1:6" ht="12.75">
      <c r="A830" s="163" t="s">
        <v>34</v>
      </c>
      <c r="B830" s="164">
        <f>B794-B828</f>
        <v>-110901.77835016</v>
      </c>
      <c r="C830" s="165">
        <f>C794-C828</f>
        <v>-27967.322202799995</v>
      </c>
      <c r="D830" s="165">
        <f>D794-D828-27967</f>
        <v>-48388.06875504</v>
      </c>
      <c r="E830" s="165">
        <f>E794-E828-48388</f>
        <v>-84187.88772920001</v>
      </c>
      <c r="F830" s="165">
        <f>F794-F828-84188</f>
        <v>-110901.49966312002</v>
      </c>
    </row>
    <row r="831" spans="1:6" ht="12.75">
      <c r="A831" s="29" t="s">
        <v>44</v>
      </c>
      <c r="B831" s="29"/>
      <c r="C831" s="29"/>
      <c r="D831" s="29"/>
      <c r="E831" s="29"/>
      <c r="F831" s="29"/>
    </row>
    <row r="832" spans="1:6" ht="12.75">
      <c r="A832" s="29" t="s">
        <v>45</v>
      </c>
      <c r="B832" s="29"/>
      <c r="C832" s="29"/>
      <c r="D832" s="29"/>
      <c r="E832" s="29"/>
      <c r="F832" s="29"/>
    </row>
    <row r="833" spans="1:6" ht="12.75">
      <c r="A833" s="29" t="s">
        <v>579</v>
      </c>
      <c r="B833" s="29"/>
      <c r="C833" s="29"/>
      <c r="D833" s="29"/>
      <c r="E833" s="29"/>
      <c r="F833" s="29"/>
    </row>
    <row r="834" spans="1:6" ht="23.25" customHeight="1">
      <c r="A834" s="29"/>
      <c r="B834" s="29"/>
      <c r="C834" s="29"/>
      <c r="D834" s="29"/>
      <c r="E834" s="29"/>
      <c r="F834" s="29"/>
    </row>
    <row r="835" spans="1:6" ht="10.5" customHeight="1">
      <c r="A835" s="120" t="s">
        <v>35</v>
      </c>
      <c r="B835" s="120"/>
      <c r="C835" s="29"/>
      <c r="D835" s="29"/>
      <c r="E835" s="29"/>
      <c r="F835" s="29"/>
    </row>
    <row r="836" spans="1:6" ht="12.75">
      <c r="A836" s="29" t="s">
        <v>616</v>
      </c>
      <c r="B836" s="29"/>
      <c r="C836" s="29"/>
      <c r="D836" s="29"/>
      <c r="E836" s="29"/>
      <c r="F836" s="29"/>
    </row>
    <row r="837" spans="1:6" ht="12.75">
      <c r="A837" s="29" t="s">
        <v>597</v>
      </c>
      <c r="B837" s="29"/>
      <c r="C837" s="29"/>
      <c r="D837" s="29"/>
      <c r="E837" s="29" t="s">
        <v>340</v>
      </c>
      <c r="F837" s="29"/>
    </row>
    <row r="838" spans="1:6" ht="0.75" customHeight="1">
      <c r="A838" s="10" t="s">
        <v>1</v>
      </c>
      <c r="B838" s="10" t="s">
        <v>11</v>
      </c>
      <c r="C838" s="10" t="s">
        <v>86</v>
      </c>
      <c r="D838" s="10" t="s">
        <v>87</v>
      </c>
      <c r="E838" s="10" t="s">
        <v>120</v>
      </c>
      <c r="F838" s="10" t="s">
        <v>141</v>
      </c>
    </row>
    <row r="839" spans="1:6" ht="12.75">
      <c r="A839" s="22" t="s">
        <v>6</v>
      </c>
      <c r="B839" s="22"/>
      <c r="C839" s="10"/>
      <c r="D839" s="5"/>
      <c r="E839" s="5"/>
      <c r="F839" s="5"/>
    </row>
    <row r="840" spans="1:6" ht="9.75" customHeight="1">
      <c r="A840" s="5" t="s">
        <v>2</v>
      </c>
      <c r="B840" s="5"/>
      <c r="C840" s="10">
        <v>5</v>
      </c>
      <c r="D840" s="5"/>
      <c r="E840" s="5"/>
      <c r="F840" s="5"/>
    </row>
    <row r="841" spans="1:6" ht="10.5" customHeight="1">
      <c r="A841" s="5" t="s">
        <v>3</v>
      </c>
      <c r="B841" s="5"/>
      <c r="C841" s="10">
        <v>6</v>
      </c>
      <c r="D841" s="5"/>
      <c r="E841" s="5"/>
      <c r="F841" s="5"/>
    </row>
    <row r="842" spans="1:6" ht="10.5" customHeight="1">
      <c r="A842" s="5" t="s">
        <v>4</v>
      </c>
      <c r="B842" s="5"/>
      <c r="C842" s="10">
        <v>61</v>
      </c>
      <c r="D842" s="5"/>
      <c r="E842" s="5"/>
      <c r="F842" s="5"/>
    </row>
    <row r="843" spans="1:6" ht="9.75" customHeight="1">
      <c r="A843" s="5" t="s">
        <v>5</v>
      </c>
      <c r="B843" s="10">
        <v>3604.48</v>
      </c>
      <c r="C843" s="10">
        <v>3604.48</v>
      </c>
      <c r="D843" s="10">
        <v>3604.48</v>
      </c>
      <c r="E843" s="10">
        <v>3604.48</v>
      </c>
      <c r="F843" s="10">
        <v>3604.48</v>
      </c>
    </row>
    <row r="844" spans="1:6" ht="18" customHeight="1">
      <c r="A844" s="150" t="s">
        <v>7</v>
      </c>
      <c r="B844" s="150"/>
      <c r="C844" s="5" t="s">
        <v>36</v>
      </c>
      <c r="D844" s="5"/>
      <c r="E844" s="5"/>
      <c r="F844" s="5"/>
    </row>
    <row r="845" spans="1:6" ht="20.25" customHeight="1">
      <c r="A845" s="151" t="s">
        <v>8</v>
      </c>
      <c r="B845" s="6">
        <f>C845+D845+E845+F845</f>
        <v>395356.23</v>
      </c>
      <c r="C845" s="10">
        <v>74972.12</v>
      </c>
      <c r="D845" s="10">
        <v>91675.48</v>
      </c>
      <c r="E845" s="10">
        <v>140498.12</v>
      </c>
      <c r="F845" s="5">
        <v>88210.51</v>
      </c>
    </row>
    <row r="846" spans="1:6" ht="19.5" customHeight="1">
      <c r="A846" s="153" t="s">
        <v>9</v>
      </c>
      <c r="B846" s="6">
        <f>C846+D846+E846+F846</f>
        <v>0</v>
      </c>
      <c r="C846" s="10">
        <v>0</v>
      </c>
      <c r="D846" s="10">
        <v>0</v>
      </c>
      <c r="E846" s="10">
        <v>0</v>
      </c>
      <c r="F846" s="10">
        <v>0</v>
      </c>
    </row>
    <row r="847" spans="1:6" ht="10.5" customHeight="1">
      <c r="A847" s="153" t="s">
        <v>10</v>
      </c>
      <c r="B847" s="6">
        <f>C847+D847+E847+F847</f>
        <v>0</v>
      </c>
      <c r="C847" s="10">
        <v>0</v>
      </c>
      <c r="D847" s="10">
        <v>0</v>
      </c>
      <c r="E847" s="10">
        <v>0</v>
      </c>
      <c r="F847" s="10">
        <v>0</v>
      </c>
    </row>
    <row r="848" spans="1:6" ht="12.75">
      <c r="A848" s="5" t="s">
        <v>11</v>
      </c>
      <c r="B848" s="150">
        <f>C848+D848+E848+F848</f>
        <v>395356.23</v>
      </c>
      <c r="C848" s="22">
        <f>C845+C846+C847</f>
        <v>74972.12</v>
      </c>
      <c r="D848" s="22">
        <f>SUM(D845:D847)</f>
        <v>91675.48</v>
      </c>
      <c r="E848" s="22">
        <f>SUM(E845:E847)</f>
        <v>140498.12</v>
      </c>
      <c r="F848" s="155">
        <f>SUM(F845:F847)</f>
        <v>88210.51</v>
      </c>
    </row>
    <row r="849" spans="1:6" ht="24">
      <c r="A849" s="150" t="s">
        <v>12</v>
      </c>
      <c r="B849" s="150"/>
      <c r="C849" s="5"/>
      <c r="D849" s="5"/>
      <c r="E849" s="5"/>
      <c r="F849" s="5"/>
    </row>
    <row r="850" spans="1:7" ht="12.75">
      <c r="A850" s="156" t="s">
        <v>13</v>
      </c>
      <c r="B850" s="166">
        <f>C850+D850+E850+F850</f>
        <v>113818.55322112</v>
      </c>
      <c r="C850" s="157">
        <f>7.5947*C843</f>
        <v>27374.944256</v>
      </c>
      <c r="D850" s="157">
        <f>7.632*C843</f>
        <v>27509.391359999998</v>
      </c>
      <c r="E850" s="157">
        <f>8.5526*E843</f>
        <v>30827.675648</v>
      </c>
      <c r="F850" s="157">
        <f>7.797669*F843</f>
        <v>28106.54195712</v>
      </c>
      <c r="G850" s="8"/>
    </row>
    <row r="851" spans="1:6" ht="21">
      <c r="A851" s="156" t="s">
        <v>14</v>
      </c>
      <c r="B851" s="167">
        <f aca="true" t="shared" si="14" ref="B851:B891">C851+D851+E851+F851</f>
        <v>0</v>
      </c>
      <c r="C851" s="12"/>
      <c r="D851" s="12"/>
      <c r="E851" s="12"/>
      <c r="F851" s="12"/>
    </row>
    <row r="852" spans="1:6" ht="12.75">
      <c r="A852" s="153" t="s">
        <v>15</v>
      </c>
      <c r="B852" s="167">
        <f>B853+B855+B856+B857+B858+B859</f>
        <v>130615.7</v>
      </c>
      <c r="C852" s="167">
        <f>C853+C855+C856+C857+C858+C859</f>
        <v>28310.34</v>
      </c>
      <c r="D852" s="167">
        <f>D853+D855+D856+D857+D858+D859</f>
        <v>33566</v>
      </c>
      <c r="E852" s="167">
        <f>E853+E855+E856+E857+E858+E859</f>
        <v>37347.36</v>
      </c>
      <c r="F852" s="167">
        <f>F853+F855+F856+F857+F858+F859</f>
        <v>31392</v>
      </c>
    </row>
    <row r="853" spans="1:6" ht="12.75">
      <c r="A853" s="158" t="s">
        <v>16</v>
      </c>
      <c r="B853" s="167">
        <f t="shared" si="14"/>
        <v>119689</v>
      </c>
      <c r="C853" s="165">
        <v>28098</v>
      </c>
      <c r="D853" s="12">
        <v>26864</v>
      </c>
      <c r="E853" s="12">
        <f>34044</f>
        <v>34044</v>
      </c>
      <c r="F853" s="12">
        <v>30683</v>
      </c>
    </row>
    <row r="854" spans="1:6" ht="12.75">
      <c r="A854" s="153" t="s">
        <v>33</v>
      </c>
      <c r="B854" s="167">
        <f t="shared" si="14"/>
        <v>77497.59</v>
      </c>
      <c r="C854" s="165">
        <v>16261.59</v>
      </c>
      <c r="D854" s="12">
        <v>18040</v>
      </c>
      <c r="E854" s="12">
        <v>21598</v>
      </c>
      <c r="F854" s="12">
        <v>21598</v>
      </c>
    </row>
    <row r="855" spans="1:6" ht="12.75">
      <c r="A855" s="153" t="s">
        <v>24</v>
      </c>
      <c r="B855" s="167">
        <f t="shared" si="14"/>
        <v>1655.52</v>
      </c>
      <c r="C855" s="12">
        <v>212.34</v>
      </c>
      <c r="D855" s="12">
        <v>510</v>
      </c>
      <c r="E855" s="12">
        <v>224.18</v>
      </c>
      <c r="F855" s="12">
        <v>709</v>
      </c>
    </row>
    <row r="856" spans="1:6" ht="12.75">
      <c r="A856" s="153" t="s">
        <v>17</v>
      </c>
      <c r="B856" s="167">
        <f t="shared" si="14"/>
        <v>0</v>
      </c>
      <c r="C856" s="12"/>
      <c r="D856" s="12"/>
      <c r="E856" s="12"/>
      <c r="F856" s="12"/>
    </row>
    <row r="857" spans="1:6" ht="12.75">
      <c r="A857" s="153" t="s">
        <v>264</v>
      </c>
      <c r="B857" s="167">
        <f t="shared" si="14"/>
        <v>1405</v>
      </c>
      <c r="C857" s="12"/>
      <c r="D857" s="12">
        <v>1405</v>
      </c>
      <c r="E857" s="12"/>
      <c r="F857" s="12"/>
    </row>
    <row r="858" spans="1:6" ht="12.75">
      <c r="A858" s="153" t="s">
        <v>88</v>
      </c>
      <c r="B858" s="167">
        <f t="shared" si="14"/>
        <v>1875.1799999999998</v>
      </c>
      <c r="C858" s="12"/>
      <c r="D858" s="12">
        <v>1153</v>
      </c>
      <c r="E858" s="12">
        <v>722.18</v>
      </c>
      <c r="F858" s="12"/>
    </row>
    <row r="859" spans="1:6" ht="16.5" customHeight="1">
      <c r="A859" s="153" t="s">
        <v>380</v>
      </c>
      <c r="B859" s="167">
        <f t="shared" si="14"/>
        <v>5991</v>
      </c>
      <c r="C859" s="12"/>
      <c r="D859" s="12">
        <v>3634</v>
      </c>
      <c r="E859" s="12">
        <v>2357</v>
      </c>
      <c r="F859" s="12"/>
    </row>
    <row r="860" spans="1:6" ht="12.75">
      <c r="A860" s="155" t="s">
        <v>11</v>
      </c>
      <c r="B860" s="166">
        <f>B850+B852</f>
        <v>244434.25322112</v>
      </c>
      <c r="C860" s="166">
        <f>C850+C852</f>
        <v>55685.284256</v>
      </c>
      <c r="D860" s="166">
        <f>D850+D852</f>
        <v>61075.391359999994</v>
      </c>
      <c r="E860" s="166">
        <f>E850+E852</f>
        <v>68175.035648</v>
      </c>
      <c r="F860" s="166">
        <f>F850+F852</f>
        <v>59498.541957120004</v>
      </c>
    </row>
    <row r="861" spans="1:6" ht="18" customHeight="1">
      <c r="A861" s="159" t="s">
        <v>18</v>
      </c>
      <c r="B861" s="167">
        <f t="shared" si="14"/>
        <v>0</v>
      </c>
      <c r="C861" s="12"/>
      <c r="D861" s="5"/>
      <c r="E861" s="12"/>
      <c r="F861" s="12"/>
    </row>
    <row r="862" spans="1:6" ht="12.75">
      <c r="A862" s="153" t="s">
        <v>23</v>
      </c>
      <c r="B862" s="167">
        <f t="shared" si="14"/>
        <v>88391.58169600001</v>
      </c>
      <c r="C862" s="165">
        <f>5.3352*C843</f>
        <v>19230.621696000002</v>
      </c>
      <c r="D862" s="12">
        <f>6.1735*C843</f>
        <v>22252.257279999998</v>
      </c>
      <c r="E862" s="12">
        <f>6.4099*E843</f>
        <v>23104.356352000003</v>
      </c>
      <c r="F862" s="12">
        <f>6.6041*F843</f>
        <v>23804.346368</v>
      </c>
    </row>
    <row r="863" spans="1:6" ht="12.75">
      <c r="A863" s="153" t="s">
        <v>480</v>
      </c>
      <c r="B863" s="167">
        <f t="shared" si="14"/>
        <v>17082</v>
      </c>
      <c r="C863" s="12"/>
      <c r="D863" s="12">
        <v>7600</v>
      </c>
      <c r="E863" s="12">
        <v>616</v>
      </c>
      <c r="F863" s="30">
        <v>8866</v>
      </c>
    </row>
    <row r="864" spans="1:6" ht="12.75">
      <c r="A864" s="153" t="s">
        <v>478</v>
      </c>
      <c r="B864" s="167">
        <f t="shared" si="14"/>
        <v>36315</v>
      </c>
      <c r="C864" s="12"/>
      <c r="D864" s="12"/>
      <c r="E864" s="12"/>
      <c r="F864" s="30">
        <v>36315</v>
      </c>
    </row>
    <row r="865" spans="1:7" ht="12.75">
      <c r="A865" s="153" t="s">
        <v>30</v>
      </c>
      <c r="B865" s="167">
        <f t="shared" si="14"/>
        <v>43174.82</v>
      </c>
      <c r="C865" s="12">
        <v>17150.82</v>
      </c>
      <c r="D865" s="12">
        <v>4365</v>
      </c>
      <c r="E865" s="12">
        <v>11827</v>
      </c>
      <c r="F865" s="30">
        <v>9832</v>
      </c>
      <c r="G865" s="119"/>
    </row>
    <row r="866" spans="1:6" ht="12.75">
      <c r="A866" s="153" t="s">
        <v>28</v>
      </c>
      <c r="B866" s="167">
        <f t="shared" si="14"/>
        <v>2855</v>
      </c>
      <c r="C866" s="12">
        <v>980</v>
      </c>
      <c r="D866" s="12"/>
      <c r="E866" s="12"/>
      <c r="F866" s="12">
        <v>1875</v>
      </c>
    </row>
    <row r="867" spans="1:6" ht="12.75">
      <c r="A867" s="153" t="s">
        <v>41</v>
      </c>
      <c r="B867" s="167">
        <f t="shared" si="14"/>
        <v>7511</v>
      </c>
      <c r="C867" s="12">
        <v>1074</v>
      </c>
      <c r="D867" s="12">
        <v>5766</v>
      </c>
      <c r="E867" s="12">
        <v>671</v>
      </c>
      <c r="F867" s="12"/>
    </row>
    <row r="868" spans="1:6" ht="12.75">
      <c r="A868" s="153" t="s">
        <v>50</v>
      </c>
      <c r="B868" s="167">
        <f t="shared" si="14"/>
        <v>10643</v>
      </c>
      <c r="C868" s="12"/>
      <c r="D868" s="12">
        <v>7590</v>
      </c>
      <c r="E868" s="12">
        <v>742</v>
      </c>
      <c r="F868" s="12">
        <v>2311</v>
      </c>
    </row>
    <row r="869" spans="1:6" ht="12.75">
      <c r="A869" s="153" t="s">
        <v>52</v>
      </c>
      <c r="B869" s="167">
        <f t="shared" si="14"/>
        <v>18237.5</v>
      </c>
      <c r="C869" s="12">
        <v>8978.5</v>
      </c>
      <c r="D869" s="12"/>
      <c r="E869" s="12">
        <v>5375</v>
      </c>
      <c r="F869" s="12">
        <v>3884</v>
      </c>
    </row>
    <row r="870" spans="1:6" ht="18" customHeight="1">
      <c r="A870" s="153" t="s">
        <v>225</v>
      </c>
      <c r="B870" s="167">
        <f t="shared" si="14"/>
        <v>516.61</v>
      </c>
      <c r="C870" s="12">
        <v>516.61</v>
      </c>
      <c r="D870" s="12"/>
      <c r="E870" s="12"/>
      <c r="F870" s="12"/>
    </row>
    <row r="871" spans="1:6" ht="12.75">
      <c r="A871" s="153" t="s">
        <v>27</v>
      </c>
      <c r="B871" s="167">
        <f t="shared" si="14"/>
        <v>822.5</v>
      </c>
      <c r="C871" s="12"/>
      <c r="D871" s="12"/>
      <c r="E871" s="12">
        <v>482.5</v>
      </c>
      <c r="F871" s="12">
        <v>340</v>
      </c>
    </row>
    <row r="872" spans="1:6" ht="12.75">
      <c r="A872" s="153" t="s">
        <v>147</v>
      </c>
      <c r="B872" s="167">
        <f t="shared" si="14"/>
        <v>0</v>
      </c>
      <c r="C872" s="12"/>
      <c r="D872" s="12"/>
      <c r="E872" s="12"/>
      <c r="F872" s="30">
        <v>0</v>
      </c>
    </row>
    <row r="873" spans="1:6" ht="12.75">
      <c r="A873" s="153" t="s">
        <v>479</v>
      </c>
      <c r="B873" s="167">
        <f t="shared" si="14"/>
        <v>3192</v>
      </c>
      <c r="C873" s="12"/>
      <c r="D873" s="12"/>
      <c r="E873" s="12"/>
      <c r="F873" s="12">
        <v>3192</v>
      </c>
    </row>
    <row r="874" spans="1:6" ht="12.75">
      <c r="A874" s="153" t="s">
        <v>47</v>
      </c>
      <c r="B874" s="167">
        <f t="shared" si="14"/>
        <v>210</v>
      </c>
      <c r="C874" s="12">
        <v>210</v>
      </c>
      <c r="D874" s="12"/>
      <c r="E874" s="12"/>
      <c r="F874" s="12"/>
    </row>
    <row r="875" spans="1:6" ht="12.75">
      <c r="A875" s="153" t="s">
        <v>453</v>
      </c>
      <c r="B875" s="167">
        <f t="shared" si="14"/>
        <v>906</v>
      </c>
      <c r="C875" s="12"/>
      <c r="D875" s="12"/>
      <c r="E875" s="12"/>
      <c r="F875" s="12">
        <v>906</v>
      </c>
    </row>
    <row r="876" spans="1:6" ht="10.5" customHeight="1">
      <c r="A876" s="153" t="s">
        <v>378</v>
      </c>
      <c r="B876" s="167">
        <f t="shared" si="14"/>
        <v>150</v>
      </c>
      <c r="C876" s="12"/>
      <c r="D876" s="12"/>
      <c r="E876" s="12">
        <v>150</v>
      </c>
      <c r="F876" s="12"/>
    </row>
    <row r="877" spans="1:6" ht="12.75">
      <c r="A877" s="153" t="s">
        <v>49</v>
      </c>
      <c r="B877" s="167">
        <f t="shared" si="14"/>
        <v>0</v>
      </c>
      <c r="C877" s="12"/>
      <c r="D877" s="12"/>
      <c r="E877" s="12"/>
      <c r="F877" s="12"/>
    </row>
    <row r="878" spans="1:6" ht="12.75">
      <c r="A878" s="153" t="s">
        <v>265</v>
      </c>
      <c r="B878" s="167">
        <f t="shared" si="14"/>
        <v>3785</v>
      </c>
      <c r="C878" s="12"/>
      <c r="D878" s="12">
        <v>185</v>
      </c>
      <c r="E878" s="12"/>
      <c r="F878" s="12">
        <v>3600</v>
      </c>
    </row>
    <row r="879" spans="1:6" ht="12.75">
      <c r="A879" s="153" t="s">
        <v>251</v>
      </c>
      <c r="B879" s="167">
        <f t="shared" si="14"/>
        <v>7035</v>
      </c>
      <c r="C879" s="12"/>
      <c r="D879" s="12">
        <v>4605</v>
      </c>
      <c r="E879" s="12">
        <v>2430</v>
      </c>
      <c r="F879" s="12"/>
    </row>
    <row r="880" spans="1:6" ht="12.75">
      <c r="A880" s="153" t="s">
        <v>379</v>
      </c>
      <c r="B880" s="167">
        <f t="shared" si="14"/>
        <v>10616.41</v>
      </c>
      <c r="C880" s="12"/>
      <c r="D880" s="12"/>
      <c r="E880" s="12">
        <v>10616.41</v>
      </c>
      <c r="F880" s="12"/>
    </row>
    <row r="881" spans="1:6" ht="17.25" customHeight="1">
      <c r="A881" s="153" t="s">
        <v>457</v>
      </c>
      <c r="B881" s="167">
        <f t="shared" si="14"/>
        <v>10400</v>
      </c>
      <c r="C881" s="12"/>
      <c r="D881" s="12"/>
      <c r="E881" s="12"/>
      <c r="F881" s="12">
        <v>10400</v>
      </c>
    </row>
    <row r="882" spans="1:6" ht="12.75">
      <c r="A882" s="155" t="s">
        <v>11</v>
      </c>
      <c r="B882" s="166">
        <f t="shared" si="14"/>
        <v>261843.421696</v>
      </c>
      <c r="C882" s="157">
        <f>SUM(C862:C881)</f>
        <v>48140.551696</v>
      </c>
      <c r="D882" s="157">
        <f>SUM(D862:D881)</f>
        <v>52363.25728</v>
      </c>
      <c r="E882" s="157">
        <f>SUM(E862:E881)</f>
        <v>56014.266352000006</v>
      </c>
      <c r="F882" s="157">
        <f>SUM(F862:F881)</f>
        <v>105325.346368</v>
      </c>
    </row>
    <row r="883" spans="1:6" ht="12.75">
      <c r="A883" s="155" t="s">
        <v>19</v>
      </c>
      <c r="B883" s="167">
        <f t="shared" si="14"/>
        <v>0</v>
      </c>
      <c r="C883" s="12"/>
      <c r="D883" s="5"/>
      <c r="E883" s="12"/>
      <c r="F883" s="12"/>
    </row>
    <row r="884" spans="1:6" ht="10.5" customHeight="1">
      <c r="A884" s="153" t="s">
        <v>38</v>
      </c>
      <c r="B884" s="167">
        <f t="shared" si="14"/>
        <v>3030.0448358400004</v>
      </c>
      <c r="C884" s="12">
        <f>0.218666*C843</f>
        <v>788.17722368</v>
      </c>
      <c r="D884" s="12">
        <f>0.210458*C843</f>
        <v>758.59165184</v>
      </c>
      <c r="E884" s="12">
        <f>0.167241*E843</f>
        <v>602.81683968</v>
      </c>
      <c r="F884" s="12">
        <f>0.244268*F843</f>
        <v>880.45912064</v>
      </c>
    </row>
    <row r="885" spans="1:6" ht="13.5" customHeight="1">
      <c r="A885" s="153" t="s">
        <v>39</v>
      </c>
      <c r="B885" s="167">
        <f t="shared" si="14"/>
        <v>6008.37619712</v>
      </c>
      <c r="C885" s="12">
        <f>0.306583*C843</f>
        <v>1105.07229184</v>
      </c>
      <c r="D885" s="12">
        <f>0.0733554*C843</f>
        <v>264.408072192</v>
      </c>
      <c r="E885" s="12">
        <f>0.536065*E843</f>
        <v>1932.2355712</v>
      </c>
      <c r="F885" s="12">
        <f>0.7509156*F843</f>
        <v>2706.660261888</v>
      </c>
    </row>
    <row r="886" spans="1:6" ht="12.75">
      <c r="A886" s="153" t="s">
        <v>32</v>
      </c>
      <c r="B886" s="167">
        <f t="shared" si="14"/>
        <v>0</v>
      </c>
      <c r="C886" s="12"/>
      <c r="D886" s="12"/>
      <c r="E886" s="12"/>
      <c r="F886" s="12"/>
    </row>
    <row r="887" spans="1:6" ht="12.75">
      <c r="A887" s="153" t="s">
        <v>37</v>
      </c>
      <c r="B887" s="167">
        <f t="shared" si="14"/>
        <v>7762.445205504</v>
      </c>
      <c r="C887" s="12">
        <f>0.70476*C843</f>
        <v>2540.2933248000004</v>
      </c>
      <c r="D887" s="12">
        <f>0.3731258*C843</f>
        <v>1344.924483584</v>
      </c>
      <c r="E887" s="12">
        <f>0.553205*E843</f>
        <v>1994.0163583999997</v>
      </c>
      <c r="F887" s="12">
        <f>0.522464*F843</f>
        <v>1883.2110387200003</v>
      </c>
    </row>
    <row r="888" spans="1:6" ht="12" customHeight="1">
      <c r="A888" s="153" t="s">
        <v>20</v>
      </c>
      <c r="B888" s="167">
        <f t="shared" si="14"/>
        <v>3630.7927040000004</v>
      </c>
      <c r="C888" s="12"/>
      <c r="D888" s="12">
        <f>0.158142*C843</f>
        <v>570.01967616</v>
      </c>
      <c r="E888" s="12">
        <f>0.60489*E843</f>
        <v>2180.3139072000004</v>
      </c>
      <c r="F888" s="12">
        <f>0.244268*F843</f>
        <v>880.45912064</v>
      </c>
    </row>
    <row r="889" spans="1:9" ht="12.75">
      <c r="A889" s="156" t="s">
        <v>11</v>
      </c>
      <c r="B889" s="166">
        <f t="shared" si="14"/>
        <v>20431.658942464</v>
      </c>
      <c r="C889" s="157">
        <f>C884+C885+C886+C887+C888</f>
        <v>4433.54284032</v>
      </c>
      <c r="D889" s="157">
        <f>SUM(D884:D888)</f>
        <v>2937.943883776</v>
      </c>
      <c r="E889" s="157">
        <f>SUM(E884:E888)</f>
        <v>6709.382676480001</v>
      </c>
      <c r="F889" s="157">
        <f>SUM(F884:F888)</f>
        <v>6350.789541888001</v>
      </c>
      <c r="I889" s="8"/>
    </row>
    <row r="890" spans="1:6" ht="12.75">
      <c r="A890" s="153" t="s">
        <v>101</v>
      </c>
      <c r="B890" s="167">
        <f t="shared" si="14"/>
        <v>2352.3647692799996</v>
      </c>
      <c r="C890" s="157">
        <f>0.0644*C843</f>
        <v>232.128512</v>
      </c>
      <c r="D890" s="12">
        <v>200</v>
      </c>
      <c r="E890" s="12">
        <f>0.10264*E843</f>
        <v>369.96382719999997</v>
      </c>
      <c r="F890" s="12">
        <f>0.430096*F843</f>
        <v>1550.2724300799998</v>
      </c>
    </row>
    <row r="891" spans="1:6" ht="28.5" customHeight="1">
      <c r="A891" s="161" t="s">
        <v>21</v>
      </c>
      <c r="B891" s="166">
        <f t="shared" si="14"/>
        <v>529061.698628864</v>
      </c>
      <c r="C891" s="157">
        <f>C860+C882+C889+C890</f>
        <v>108491.50730432</v>
      </c>
      <c r="D891" s="157">
        <f>D860+D882+D889+D890</f>
        <v>116576.592523776</v>
      </c>
      <c r="E891" s="157">
        <f>E860+E882+E889+E890</f>
        <v>131268.64850368001</v>
      </c>
      <c r="F891" s="157">
        <f>F860+F882+F889+F890</f>
        <v>172724.95029708798</v>
      </c>
    </row>
    <row r="892" spans="1:6" ht="23.25" customHeight="1">
      <c r="A892" s="161" t="s">
        <v>22</v>
      </c>
      <c r="B892" s="168">
        <f>B891/12/B843</f>
        <v>12.231577061251183</v>
      </c>
      <c r="C892" s="13">
        <f>C891/C843/3</f>
        <v>10.03302439411695</v>
      </c>
      <c r="D892" s="13">
        <f>D891/3/C843</f>
        <v>10.780712939062498</v>
      </c>
      <c r="E892" s="13">
        <f>E891/3/C843</f>
        <v>12.139397685073392</v>
      </c>
      <c r="F892" s="13">
        <f>F891/3/C843</f>
        <v>15.973173226751893</v>
      </c>
    </row>
    <row r="893" spans="1:6" ht="9" customHeight="1">
      <c r="A893" s="163" t="s">
        <v>34</v>
      </c>
      <c r="B893" s="164">
        <f>B848-B891</f>
        <v>-133705.46862886404</v>
      </c>
      <c r="C893" s="165">
        <f>C848-C891</f>
        <v>-33519.38730432</v>
      </c>
      <c r="D893" s="165">
        <f>D848-D891-33519</f>
        <v>-58420.112523776</v>
      </c>
      <c r="E893" s="165">
        <f>E848-E891-58420</f>
        <v>-49190.52850368002</v>
      </c>
      <c r="F893" s="165">
        <f>F848-F891-46125</f>
        <v>-130639.44029708799</v>
      </c>
    </row>
    <row r="894" spans="1:6" ht="12.75">
      <c r="A894" s="29" t="s">
        <v>44</v>
      </c>
      <c r="B894" s="29"/>
      <c r="C894" s="29"/>
      <c r="D894" s="29"/>
      <c r="E894" s="29"/>
      <c r="F894" s="29"/>
    </row>
    <row r="895" spans="1:6" ht="12.75">
      <c r="A895" s="29" t="s">
        <v>45</v>
      </c>
      <c r="B895" s="29"/>
      <c r="C895" s="29"/>
      <c r="D895" s="29"/>
      <c r="E895" s="29"/>
      <c r="F895" s="29"/>
    </row>
    <row r="896" spans="1:6" ht="12.75">
      <c r="A896" s="29" t="s">
        <v>579</v>
      </c>
      <c r="B896" s="29"/>
      <c r="C896" s="29"/>
      <c r="D896" s="29"/>
      <c r="E896" s="29"/>
      <c r="F896" s="29"/>
    </row>
    <row r="897" spans="1:6" ht="3.75" customHeight="1">
      <c r="A897" s="29"/>
      <c r="B897" s="29"/>
      <c r="C897" s="29"/>
      <c r="D897" s="29"/>
      <c r="E897" s="29"/>
      <c r="F897" s="29"/>
    </row>
    <row r="898" spans="1:6" ht="12.75">
      <c r="A898" s="120" t="s">
        <v>35</v>
      </c>
      <c r="B898" s="120"/>
      <c r="C898" s="29"/>
      <c r="D898" s="29"/>
      <c r="E898" s="29"/>
      <c r="F898" s="29"/>
    </row>
    <row r="899" spans="1:6" ht="12.75">
      <c r="A899" s="29" t="s">
        <v>616</v>
      </c>
      <c r="B899" s="29"/>
      <c r="C899" s="29"/>
      <c r="D899" s="29"/>
      <c r="E899" s="29"/>
      <c r="F899" s="29"/>
    </row>
    <row r="900" spans="1:6" ht="12.75">
      <c r="A900" s="29" t="s">
        <v>598</v>
      </c>
      <c r="B900" s="29"/>
      <c r="C900" s="29"/>
      <c r="D900" s="29"/>
      <c r="E900" s="29" t="s">
        <v>340</v>
      </c>
      <c r="F900" s="29"/>
    </row>
    <row r="901" spans="1:6" ht="12.75">
      <c r="A901" s="10" t="s">
        <v>1</v>
      </c>
      <c r="B901" s="10" t="s">
        <v>11</v>
      </c>
      <c r="C901" s="10" t="s">
        <v>86</v>
      </c>
      <c r="D901" s="10" t="s">
        <v>87</v>
      </c>
      <c r="E901" s="10" t="s">
        <v>120</v>
      </c>
      <c r="F901" s="10" t="s">
        <v>141</v>
      </c>
    </row>
    <row r="902" spans="1:6" ht="12.75">
      <c r="A902" s="22" t="s">
        <v>6</v>
      </c>
      <c r="B902" s="22"/>
      <c r="C902" s="10"/>
      <c r="D902" s="31"/>
      <c r="E902" s="5"/>
      <c r="F902" s="5"/>
    </row>
    <row r="903" spans="1:6" ht="12.75">
      <c r="A903" s="5" t="s">
        <v>2</v>
      </c>
      <c r="B903" s="5"/>
      <c r="C903" s="10">
        <v>5</v>
      </c>
      <c r="D903" s="31"/>
      <c r="E903" s="5"/>
      <c r="F903" s="5"/>
    </row>
    <row r="904" spans="1:6" ht="12.75">
      <c r="A904" s="5" t="s">
        <v>3</v>
      </c>
      <c r="B904" s="5"/>
      <c r="C904" s="10">
        <v>6</v>
      </c>
      <c r="D904" s="31"/>
      <c r="E904" s="5"/>
      <c r="F904" s="5"/>
    </row>
    <row r="905" spans="1:6" ht="12.75">
      <c r="A905" s="5" t="s">
        <v>4</v>
      </c>
      <c r="B905" s="5"/>
      <c r="C905" s="10">
        <v>61</v>
      </c>
      <c r="D905" s="31"/>
      <c r="E905" s="5"/>
      <c r="F905" s="5"/>
    </row>
    <row r="906" spans="1:6" ht="12.75">
      <c r="A906" s="5" t="s">
        <v>5</v>
      </c>
      <c r="B906" s="10">
        <v>3618.73</v>
      </c>
      <c r="C906" s="10">
        <v>3618.73</v>
      </c>
      <c r="D906" s="10">
        <v>3618.73</v>
      </c>
      <c r="E906" s="10">
        <v>3618.73</v>
      </c>
      <c r="F906" s="10">
        <v>3618.73</v>
      </c>
    </row>
    <row r="907" spans="1:6" ht="24">
      <c r="A907" s="150" t="s">
        <v>7</v>
      </c>
      <c r="B907" s="150"/>
      <c r="C907" s="5" t="s">
        <v>36</v>
      </c>
      <c r="D907" s="31"/>
      <c r="E907" s="5"/>
      <c r="F907" s="5"/>
    </row>
    <row r="908" spans="1:6" ht="24">
      <c r="A908" s="151" t="s">
        <v>8</v>
      </c>
      <c r="B908" s="6">
        <f>C908+D908+E908+F908</f>
        <v>417207.05999999994</v>
      </c>
      <c r="C908" s="10">
        <v>79575.16</v>
      </c>
      <c r="D908" s="25">
        <v>105078.01</v>
      </c>
      <c r="E908" s="10">
        <v>119350.73</v>
      </c>
      <c r="F908" s="5">
        <v>113203.16</v>
      </c>
    </row>
    <row r="909" spans="1:6" ht="22.5">
      <c r="A909" s="153" t="s">
        <v>9</v>
      </c>
      <c r="B909" s="6">
        <f>C909+D909+E909+F909</f>
        <v>0</v>
      </c>
      <c r="C909" s="10"/>
      <c r="D909" s="25"/>
      <c r="E909" s="10"/>
      <c r="F909" s="5"/>
    </row>
    <row r="910" spans="1:6" ht="12.75">
      <c r="A910" s="5" t="s">
        <v>11</v>
      </c>
      <c r="B910" s="6">
        <f>C910+D910+E910+F910</f>
        <v>417207.05999999994</v>
      </c>
      <c r="C910" s="22">
        <f>C908+C909</f>
        <v>79575.16</v>
      </c>
      <c r="D910" s="44">
        <f>SUM(D908:D909)</f>
        <v>105078.01</v>
      </c>
      <c r="E910" s="22">
        <f>SUM(E908:E909)</f>
        <v>119350.73</v>
      </c>
      <c r="F910" s="155">
        <f>SUM(F908:F909)</f>
        <v>113203.16</v>
      </c>
    </row>
    <row r="911" spans="1:6" ht="24">
      <c r="A911" s="150" t="s">
        <v>12</v>
      </c>
      <c r="B911" s="150"/>
      <c r="C911" s="5"/>
      <c r="D911" s="31"/>
      <c r="E911" s="5"/>
      <c r="F911" s="5"/>
    </row>
    <row r="912" spans="1:7" ht="12.75">
      <c r="A912" s="156" t="s">
        <v>13</v>
      </c>
      <c r="B912" s="166">
        <f>C912+D912+E912+F912</f>
        <v>114268.52502937</v>
      </c>
      <c r="C912" s="157">
        <f>7.5947*C906</f>
        <v>27483.168730999998</v>
      </c>
      <c r="D912" s="157">
        <f>7.632*C906</f>
        <v>27618.14736</v>
      </c>
      <c r="E912" s="157">
        <f>8.5526*E906</f>
        <v>30949.550198</v>
      </c>
      <c r="F912" s="157">
        <f>7.797669*F906</f>
        <v>28217.65874037</v>
      </c>
      <c r="G912" s="8"/>
    </row>
    <row r="913" spans="1:6" ht="21">
      <c r="A913" s="156" t="s">
        <v>14</v>
      </c>
      <c r="B913" s="167">
        <f aca="true" t="shared" si="15" ref="B913:B956">C913+D913+E913+F913</f>
        <v>0</v>
      </c>
      <c r="C913" s="12"/>
      <c r="D913" s="33"/>
      <c r="E913" s="13"/>
      <c r="F913" s="12"/>
    </row>
    <row r="914" spans="1:6" ht="12.75">
      <c r="A914" s="153" t="s">
        <v>15</v>
      </c>
      <c r="B914" s="167">
        <f t="shared" si="15"/>
        <v>141674.01</v>
      </c>
      <c r="C914" s="12">
        <f>C915+C917</f>
        <v>29705.97</v>
      </c>
      <c r="D914" s="33">
        <f>D915+D917+D918+D919+D920+D921+D922</f>
        <v>39384.020000000004</v>
      </c>
      <c r="E914" s="12">
        <f>E915+E917+E918+E919+E920+E921+E922</f>
        <v>40244.07</v>
      </c>
      <c r="F914" s="12">
        <f>F915+F917+F918+F919+F920+F921+F922</f>
        <v>32339.95</v>
      </c>
    </row>
    <row r="915" spans="1:6" ht="12.75">
      <c r="A915" s="158" t="s">
        <v>16</v>
      </c>
      <c r="B915" s="167">
        <f t="shared" si="15"/>
        <v>120622</v>
      </c>
      <c r="C915" s="165">
        <v>29494</v>
      </c>
      <c r="D915" s="33">
        <v>26316</v>
      </c>
      <c r="E915" s="12">
        <v>34093</v>
      </c>
      <c r="F915" s="12">
        <v>30719</v>
      </c>
    </row>
    <row r="916" spans="1:6" ht="12.75">
      <c r="A916" s="153" t="s">
        <v>33</v>
      </c>
      <c r="B916" s="167">
        <f t="shared" si="15"/>
        <v>76040.23</v>
      </c>
      <c r="C916" s="165">
        <v>15387.23</v>
      </c>
      <c r="D916" s="33">
        <v>17457</v>
      </c>
      <c r="E916" s="12">
        <v>21598</v>
      </c>
      <c r="F916" s="12">
        <v>21598</v>
      </c>
    </row>
    <row r="917" spans="1:6" ht="12.75">
      <c r="A917" s="153" t="s">
        <v>24</v>
      </c>
      <c r="B917" s="167">
        <f t="shared" si="15"/>
        <v>2115.61</v>
      </c>
      <c r="C917" s="12">
        <v>211.97</v>
      </c>
      <c r="D917" s="33">
        <v>509.12</v>
      </c>
      <c r="E917" s="12">
        <v>682.57</v>
      </c>
      <c r="F917" s="12">
        <v>711.95</v>
      </c>
    </row>
    <row r="918" spans="1:6" ht="12.75">
      <c r="A918" s="153" t="s">
        <v>17</v>
      </c>
      <c r="B918" s="167">
        <f t="shared" si="15"/>
        <v>0</v>
      </c>
      <c r="C918" s="12"/>
      <c r="D918" s="33"/>
      <c r="E918" s="12"/>
      <c r="F918" s="12"/>
    </row>
    <row r="919" spans="1:6" ht="12.75">
      <c r="A919" s="153" t="s">
        <v>267</v>
      </c>
      <c r="B919" s="167">
        <f t="shared" si="15"/>
        <v>855</v>
      </c>
      <c r="C919" s="12"/>
      <c r="D919" s="33">
        <v>855</v>
      </c>
      <c r="E919" s="12"/>
      <c r="F919" s="12"/>
    </row>
    <row r="920" spans="1:6" ht="12.75">
      <c r="A920" s="153" t="s">
        <v>88</v>
      </c>
      <c r="B920" s="167">
        <f t="shared" si="15"/>
        <v>1365.4</v>
      </c>
      <c r="C920" s="12"/>
      <c r="D920" s="33">
        <v>1102.9</v>
      </c>
      <c r="E920" s="12">
        <v>262.5</v>
      </c>
      <c r="F920" s="12"/>
    </row>
    <row r="921" spans="1:6" ht="12.75">
      <c r="A921" s="153" t="s">
        <v>95</v>
      </c>
      <c r="B921" s="167">
        <f t="shared" si="15"/>
        <v>6137</v>
      </c>
      <c r="C921" s="12"/>
      <c r="D921" s="33">
        <v>6137</v>
      </c>
      <c r="E921" s="12"/>
      <c r="F921" s="12"/>
    </row>
    <row r="922" spans="1:6" ht="12.75">
      <c r="A922" s="153" t="s">
        <v>481</v>
      </c>
      <c r="B922" s="167">
        <f t="shared" si="15"/>
        <v>10579</v>
      </c>
      <c r="C922" s="12"/>
      <c r="D922" s="33">
        <v>4464</v>
      </c>
      <c r="E922" s="12">
        <v>5206</v>
      </c>
      <c r="F922" s="12">
        <v>909</v>
      </c>
    </row>
    <row r="923" spans="1:6" ht="12.75">
      <c r="A923" s="155" t="s">
        <v>11</v>
      </c>
      <c r="B923" s="166">
        <f t="shared" si="15"/>
        <v>255942.53502937002</v>
      </c>
      <c r="C923" s="157">
        <f>C912+C914</f>
        <v>57189.138731</v>
      </c>
      <c r="D923" s="174">
        <f>D912+D914</f>
        <v>67002.16736</v>
      </c>
      <c r="E923" s="157">
        <f>E912+E914</f>
        <v>71193.620198</v>
      </c>
      <c r="F923" s="157">
        <f>F912+F914</f>
        <v>60557.60874037</v>
      </c>
    </row>
    <row r="924" spans="1:6" ht="21">
      <c r="A924" s="159" t="s">
        <v>18</v>
      </c>
      <c r="B924" s="167">
        <f t="shared" si="15"/>
        <v>0</v>
      </c>
      <c r="C924" s="12"/>
      <c r="D924" s="33"/>
      <c r="E924" s="12"/>
      <c r="F924" s="12"/>
    </row>
    <row r="925" spans="1:6" ht="12.75">
      <c r="A925" s="153" t="s">
        <v>23</v>
      </c>
      <c r="B925" s="167">
        <f t="shared" si="15"/>
        <v>88741.030171</v>
      </c>
      <c r="C925" s="175">
        <f>5.3352*C906</f>
        <v>19306.648296000003</v>
      </c>
      <c r="D925" s="174">
        <f>6.1735*C906</f>
        <v>22340.229655</v>
      </c>
      <c r="E925" s="157">
        <f>6.4099*E906</f>
        <v>23195.697427000003</v>
      </c>
      <c r="F925" s="12">
        <f>6.6041*F906</f>
        <v>23898.454793</v>
      </c>
    </row>
    <row r="926" spans="1:6" ht="12.75">
      <c r="A926" s="153" t="s">
        <v>266</v>
      </c>
      <c r="B926" s="167">
        <f t="shared" si="15"/>
        <v>6074</v>
      </c>
      <c r="C926" s="12"/>
      <c r="D926" s="33">
        <v>5466</v>
      </c>
      <c r="E926" s="12"/>
      <c r="F926" s="12">
        <v>608</v>
      </c>
    </row>
    <row r="927" spans="1:6" ht="12.75">
      <c r="A927" s="153" t="s">
        <v>482</v>
      </c>
      <c r="B927" s="167">
        <f t="shared" si="15"/>
        <v>73317</v>
      </c>
      <c r="C927" s="12"/>
      <c r="D927" s="33"/>
      <c r="E927" s="12"/>
      <c r="F927" s="12">
        <v>73317</v>
      </c>
    </row>
    <row r="928" spans="1:7" ht="12.75">
      <c r="A928" s="153" t="s">
        <v>30</v>
      </c>
      <c r="B928" s="167">
        <f t="shared" si="15"/>
        <v>4956</v>
      </c>
      <c r="C928" s="12">
        <v>1186</v>
      </c>
      <c r="D928" s="33">
        <v>1110</v>
      </c>
      <c r="E928" s="12">
        <v>1170</v>
      </c>
      <c r="F928" s="30">
        <v>1490</v>
      </c>
      <c r="G928" s="119"/>
    </row>
    <row r="929" spans="1:6" ht="12.75">
      <c r="A929" s="153" t="s">
        <v>28</v>
      </c>
      <c r="B929" s="167">
        <f t="shared" si="15"/>
        <v>0</v>
      </c>
      <c r="C929" s="12"/>
      <c r="D929" s="176"/>
      <c r="E929" s="12"/>
      <c r="F929" s="12"/>
    </row>
    <row r="930" spans="1:6" ht="12.75">
      <c r="A930" s="153" t="s">
        <v>41</v>
      </c>
      <c r="B930" s="167">
        <f t="shared" si="15"/>
        <v>4756</v>
      </c>
      <c r="C930" s="12">
        <v>443</v>
      </c>
      <c r="D930" s="33"/>
      <c r="E930" s="12">
        <v>3303</v>
      </c>
      <c r="F930" s="12">
        <v>1010</v>
      </c>
    </row>
    <row r="931" spans="1:6" ht="12.75">
      <c r="A931" s="153" t="s">
        <v>50</v>
      </c>
      <c r="B931" s="167">
        <f t="shared" si="15"/>
        <v>2376.7</v>
      </c>
      <c r="C931" s="12">
        <v>2376.7</v>
      </c>
      <c r="D931" s="33"/>
      <c r="E931" s="12"/>
      <c r="F931" s="12"/>
    </row>
    <row r="932" spans="1:6" ht="12.75">
      <c r="A932" s="153" t="s">
        <v>52</v>
      </c>
      <c r="B932" s="167">
        <f t="shared" si="15"/>
        <v>4297</v>
      </c>
      <c r="C932" s="12"/>
      <c r="D932" s="33"/>
      <c r="E932" s="12"/>
      <c r="F932" s="12">
        <v>4297</v>
      </c>
    </row>
    <row r="933" spans="1:6" ht="22.5">
      <c r="A933" s="153" t="s">
        <v>225</v>
      </c>
      <c r="B933" s="167">
        <f t="shared" si="15"/>
        <v>518.66</v>
      </c>
      <c r="C933" s="12">
        <v>518.66</v>
      </c>
      <c r="D933" s="33"/>
      <c r="E933" s="12"/>
      <c r="F933" s="12"/>
    </row>
    <row r="934" spans="1:6" ht="12.75">
      <c r="A934" s="153" t="s">
        <v>27</v>
      </c>
      <c r="B934" s="167">
        <f t="shared" si="15"/>
        <v>0</v>
      </c>
      <c r="C934" s="12"/>
      <c r="D934" s="33"/>
      <c r="E934" s="12"/>
      <c r="F934" s="12"/>
    </row>
    <row r="935" spans="1:6" ht="12.75">
      <c r="A935" s="153" t="s">
        <v>268</v>
      </c>
      <c r="B935" s="167">
        <f t="shared" si="15"/>
        <v>8000</v>
      </c>
      <c r="C935" s="12"/>
      <c r="D935" s="33">
        <v>8000</v>
      </c>
      <c r="E935" s="12"/>
      <c r="F935" s="12"/>
    </row>
    <row r="936" spans="1:6" ht="12.75">
      <c r="A936" s="153" t="s">
        <v>453</v>
      </c>
      <c r="B936" s="167">
        <f t="shared" si="15"/>
        <v>910</v>
      </c>
      <c r="C936" s="12"/>
      <c r="D936" s="33"/>
      <c r="E936" s="12"/>
      <c r="F936" s="12">
        <v>910</v>
      </c>
    </row>
    <row r="937" spans="1:6" ht="12.75">
      <c r="A937" s="153" t="s">
        <v>47</v>
      </c>
      <c r="B937" s="167">
        <f t="shared" si="15"/>
        <v>170</v>
      </c>
      <c r="C937" s="12"/>
      <c r="D937" s="33">
        <v>170</v>
      </c>
      <c r="E937" s="12"/>
      <c r="F937" s="12"/>
    </row>
    <row r="938" spans="1:6" ht="12.75">
      <c r="A938" s="153" t="s">
        <v>483</v>
      </c>
      <c r="B938" s="167">
        <f t="shared" si="15"/>
        <v>990</v>
      </c>
      <c r="C938" s="12"/>
      <c r="D938" s="33"/>
      <c r="E938" s="12"/>
      <c r="F938" s="12">
        <v>990</v>
      </c>
    </row>
    <row r="939" spans="1:6" ht="22.5">
      <c r="A939" s="153" t="s">
        <v>484</v>
      </c>
      <c r="B939" s="167">
        <f t="shared" si="15"/>
        <v>34</v>
      </c>
      <c r="C939" s="12">
        <v>34</v>
      </c>
      <c r="D939" s="33"/>
      <c r="E939" s="12"/>
      <c r="F939" s="30">
        <v>0</v>
      </c>
    </row>
    <row r="940" spans="1:6" ht="12.75">
      <c r="A940" s="153" t="s">
        <v>49</v>
      </c>
      <c r="B940" s="167">
        <f t="shared" si="15"/>
        <v>0</v>
      </c>
      <c r="C940" s="12"/>
      <c r="D940" s="33"/>
      <c r="E940" s="12"/>
      <c r="F940" s="12"/>
    </row>
    <row r="941" spans="1:6" ht="12.75">
      <c r="A941" s="153" t="s">
        <v>382</v>
      </c>
      <c r="B941" s="167">
        <f t="shared" si="15"/>
        <v>300</v>
      </c>
      <c r="C941" s="12"/>
      <c r="D941" s="33"/>
      <c r="E941" s="12">
        <v>300</v>
      </c>
      <c r="F941" s="12"/>
    </row>
    <row r="942" spans="1:6" ht="22.5">
      <c r="A942" s="153" t="s">
        <v>457</v>
      </c>
      <c r="B942" s="167">
        <f t="shared" si="15"/>
        <v>11200</v>
      </c>
      <c r="C942" s="12"/>
      <c r="D942" s="33"/>
      <c r="E942" s="12"/>
      <c r="F942" s="12">
        <v>11200</v>
      </c>
    </row>
    <row r="943" spans="1:6" ht="12.75">
      <c r="A943" s="153" t="s">
        <v>104</v>
      </c>
      <c r="B943" s="167">
        <f t="shared" si="15"/>
        <v>0</v>
      </c>
      <c r="C943" s="12"/>
      <c r="D943" s="33"/>
      <c r="E943" s="12"/>
      <c r="F943" s="12"/>
    </row>
    <row r="944" spans="1:6" ht="12.75">
      <c r="A944" s="153" t="s">
        <v>270</v>
      </c>
      <c r="B944" s="167">
        <f t="shared" si="15"/>
        <v>1748</v>
      </c>
      <c r="C944" s="12"/>
      <c r="D944" s="33">
        <v>1748</v>
      </c>
      <c r="E944" s="12"/>
      <c r="F944" s="12"/>
    </row>
    <row r="945" spans="1:6" ht="12.75">
      <c r="A945" s="153" t="s">
        <v>269</v>
      </c>
      <c r="B945" s="167">
        <f t="shared" si="15"/>
        <v>28800</v>
      </c>
      <c r="C945" s="12"/>
      <c r="D945" s="33">
        <v>28800</v>
      </c>
      <c r="E945" s="12"/>
      <c r="F945" s="12"/>
    </row>
    <row r="946" spans="1:6" ht="12.75">
      <c r="A946" s="153" t="s">
        <v>485</v>
      </c>
      <c r="B946" s="167">
        <f t="shared" si="15"/>
        <v>2670</v>
      </c>
      <c r="C946" s="12"/>
      <c r="D946" s="33"/>
      <c r="E946" s="157"/>
      <c r="F946" s="12">
        <v>2670</v>
      </c>
    </row>
    <row r="947" spans="1:6" ht="12.75">
      <c r="A947" s="155" t="s">
        <v>11</v>
      </c>
      <c r="B947" s="166">
        <f t="shared" si="15"/>
        <v>239858.390171</v>
      </c>
      <c r="C947" s="157">
        <f>C925+C926+C927+C928+C929+C930+C931+C932+C933+C934+C935+C936+C937+C938+C939+C940+C941+C942+C943+C944+C945+C946</f>
        <v>23865.008296000004</v>
      </c>
      <c r="D947" s="174">
        <f>SUM(D925:D946)</f>
        <v>67634.229655</v>
      </c>
      <c r="E947" s="12">
        <f>SUM(E925:E946)</f>
        <v>27968.697427000003</v>
      </c>
      <c r="F947" s="12">
        <f>SUM(F925:F946)</f>
        <v>120390.454793</v>
      </c>
    </row>
    <row r="948" spans="1:6" ht="12.75">
      <c r="A948" s="155" t="s">
        <v>19</v>
      </c>
      <c r="B948" s="167">
        <f t="shared" si="15"/>
        <v>0</v>
      </c>
      <c r="C948" s="12"/>
      <c r="D948" s="33"/>
      <c r="E948" s="12"/>
      <c r="F948" s="12"/>
    </row>
    <row r="949" spans="1:6" ht="12.75">
      <c r="A949" s="153" t="s">
        <v>38</v>
      </c>
      <c r="B949" s="167">
        <f t="shared" si="15"/>
        <v>3152.7128455839998</v>
      </c>
      <c r="C949" s="12">
        <f>0.218666*C906</f>
        <v>791.29321418</v>
      </c>
      <c r="D949" s="33">
        <f>0.2410458*C906</f>
        <v>872.2796678340001</v>
      </c>
      <c r="E949" s="12">
        <f>0.167241*E906</f>
        <v>605.20002393</v>
      </c>
      <c r="F949" s="12">
        <f>0.244268*F906</f>
        <v>883.93993964</v>
      </c>
    </row>
    <row r="950" spans="1:6" ht="12.75">
      <c r="A950" s="153" t="s">
        <v>39</v>
      </c>
      <c r="B950" s="167">
        <f t="shared" si="15"/>
        <v>6032.1297928700005</v>
      </c>
      <c r="C950" s="12">
        <f>0.306583*C906</f>
        <v>1109.44109959</v>
      </c>
      <c r="D950" s="33">
        <f>0.0733554*C906</f>
        <v>265.453386642</v>
      </c>
      <c r="E950" s="12">
        <f>0.536065*E906</f>
        <v>1939.87449745</v>
      </c>
      <c r="F950" s="12">
        <f>0.7509156*F906</f>
        <v>2717.360809188</v>
      </c>
    </row>
    <row r="951" spans="1:6" ht="12.75">
      <c r="A951" s="153" t="s">
        <v>32</v>
      </c>
      <c r="B951" s="167">
        <f t="shared" si="15"/>
        <v>0</v>
      </c>
      <c r="C951" s="12"/>
      <c r="D951" s="33"/>
      <c r="E951" s="12"/>
      <c r="F951" s="12"/>
    </row>
    <row r="952" spans="1:6" ht="12.75">
      <c r="A952" s="153" t="s">
        <v>37</v>
      </c>
      <c r="B952" s="167">
        <f t="shared" si="15"/>
        <v>7793.133361404</v>
      </c>
      <c r="C952" s="12">
        <f>0.70476*C906</f>
        <v>2550.3361548000003</v>
      </c>
      <c r="D952" s="33">
        <f>0.3731258*C906</f>
        <v>1350.241526234</v>
      </c>
      <c r="E952" s="12">
        <f>0.553205*E906</f>
        <v>2001.8995296499997</v>
      </c>
      <c r="F952" s="12">
        <f>0.522464*F906</f>
        <v>1890.6561507200001</v>
      </c>
    </row>
    <row r="953" spans="1:6" ht="12.75">
      <c r="A953" s="153" t="s">
        <v>20</v>
      </c>
      <c r="B953" s="167">
        <f t="shared" si="15"/>
        <v>2881.6960234400003</v>
      </c>
      <c r="C953" s="12"/>
      <c r="D953" s="33">
        <f>0.158142*C906</f>
        <v>572.27319966</v>
      </c>
      <c r="E953" s="12">
        <f>0.60489*E906</f>
        <v>2188.9335897</v>
      </c>
      <c r="F953" s="12">
        <f>0.033296*F906</f>
        <v>120.48923408</v>
      </c>
    </row>
    <row r="954" spans="1:6" ht="12.75">
      <c r="A954" s="156" t="s">
        <v>11</v>
      </c>
      <c r="B954" s="166">
        <f t="shared" si="15"/>
        <v>19859.672023298</v>
      </c>
      <c r="C954" s="157">
        <f>C949+C950+C951+C952+C953</f>
        <v>4451.07046857</v>
      </c>
      <c r="D954" s="174">
        <f>SUM(D949:D953)</f>
        <v>3060.24778037</v>
      </c>
      <c r="E954" s="157">
        <f>SUM(E949:E953)</f>
        <v>6735.90764073</v>
      </c>
      <c r="F954" s="12">
        <f>SUM(F949:F953)</f>
        <v>5612.446133628</v>
      </c>
    </row>
    <row r="955" spans="1:6" ht="12.75">
      <c r="A955" s="153" t="s">
        <v>101</v>
      </c>
      <c r="B955" s="167">
        <f t="shared" si="15"/>
        <v>2360.8739572799996</v>
      </c>
      <c r="C955" s="157">
        <f>0.0644*C906</f>
        <v>233.046212</v>
      </c>
      <c r="D955" s="33">
        <v>200</v>
      </c>
      <c r="E955" s="12">
        <f>0.10264*E906</f>
        <v>371.4264472</v>
      </c>
      <c r="F955" s="12">
        <f>0.430096*F906</f>
        <v>1556.4012980799998</v>
      </c>
    </row>
    <row r="956" spans="1:6" ht="33.75">
      <c r="A956" s="161" t="s">
        <v>21</v>
      </c>
      <c r="B956" s="166">
        <f t="shared" si="15"/>
        <v>517650.044733748</v>
      </c>
      <c r="C956" s="157">
        <f>C923+C947+C954+C955</f>
        <v>85738.26370757</v>
      </c>
      <c r="D956" s="174">
        <f>D923+D947+D954+D955</f>
        <v>137896.64479537</v>
      </c>
      <c r="E956" s="157">
        <f>E923+E947+E954</f>
        <v>105898.22526573001</v>
      </c>
      <c r="F956" s="12">
        <f>F923+F947+F954+F955</f>
        <v>188116.910965078</v>
      </c>
    </row>
    <row r="957" spans="1:6" ht="33.75">
      <c r="A957" s="161" t="s">
        <v>22</v>
      </c>
      <c r="B957" s="162">
        <f>B956/12/C906</f>
        <v>11.920619589693715</v>
      </c>
      <c r="C957" s="14">
        <f>C956/C906/3</f>
        <v>7.897638463178151</v>
      </c>
      <c r="D957" s="177">
        <f>D956/C906/3</f>
        <v>12.702121535766231</v>
      </c>
      <c r="E957" s="14">
        <f>E956/3/C906</f>
        <v>9.754640004064964</v>
      </c>
      <c r="F957" s="14">
        <f>F956/3/C906</f>
        <v>17.328078355765513</v>
      </c>
    </row>
    <row r="958" spans="1:6" ht="12.75">
      <c r="A958" s="163" t="s">
        <v>34</v>
      </c>
      <c r="B958" s="164">
        <f>B910-B956</f>
        <v>-100442.98473374808</v>
      </c>
      <c r="C958" s="165">
        <f>C910-C956</f>
        <v>-6163.103707570001</v>
      </c>
      <c r="D958" s="178">
        <f>D910-D956-6183</f>
        <v>-39001.63479537</v>
      </c>
      <c r="E958" s="165">
        <f>E910-E956-39002</f>
        <v>-25549.495265730016</v>
      </c>
      <c r="F958" s="165">
        <f>F910-F956-25549</f>
        <v>-100462.75096507798</v>
      </c>
    </row>
    <row r="959" spans="1:6" ht="12.75">
      <c r="A959" s="29" t="s">
        <v>44</v>
      </c>
      <c r="B959" s="29"/>
      <c r="C959" s="29"/>
      <c r="D959" s="29"/>
      <c r="E959" s="29"/>
      <c r="F959" s="29"/>
    </row>
    <row r="960" spans="1:6" ht="12.75">
      <c r="A960" s="29" t="s">
        <v>45</v>
      </c>
      <c r="B960" s="29"/>
      <c r="C960" s="29"/>
      <c r="D960" s="29"/>
      <c r="E960" s="29"/>
      <c r="F960" s="29"/>
    </row>
    <row r="961" spans="1:6" ht="12.75">
      <c r="A961" s="29" t="s">
        <v>579</v>
      </c>
      <c r="B961" s="29"/>
      <c r="C961" s="29"/>
      <c r="D961" s="29"/>
      <c r="E961" s="29"/>
      <c r="F961" s="29"/>
    </row>
    <row r="962" spans="1:6" ht="276" customHeight="1">
      <c r="A962" s="29"/>
      <c r="B962" s="29"/>
      <c r="C962" s="29"/>
      <c r="D962" s="29"/>
      <c r="E962" s="29"/>
      <c r="F962" s="29"/>
    </row>
    <row r="963" spans="1:6" ht="12.75">
      <c r="A963" s="120" t="s">
        <v>35</v>
      </c>
      <c r="B963" s="120"/>
      <c r="C963" s="29"/>
      <c r="D963" s="29"/>
      <c r="E963" s="29"/>
      <c r="F963" s="29"/>
    </row>
    <row r="964" spans="1:6" ht="12.75">
      <c r="A964" s="29" t="s">
        <v>616</v>
      </c>
      <c r="B964" s="29"/>
      <c r="C964" s="29"/>
      <c r="D964" s="29"/>
      <c r="E964" s="29"/>
      <c r="F964" s="29"/>
    </row>
    <row r="965" spans="1:6" ht="12.75">
      <c r="A965" s="29" t="s">
        <v>224</v>
      </c>
      <c r="B965" s="29"/>
      <c r="C965" s="29"/>
      <c r="D965" s="29"/>
      <c r="E965" s="29"/>
      <c r="F965" s="29"/>
    </row>
    <row r="966" spans="1:6" ht="12.75">
      <c r="A966" s="29" t="s">
        <v>599</v>
      </c>
      <c r="B966" s="29"/>
      <c r="C966" s="29"/>
      <c r="D966" s="29"/>
      <c r="E966" s="29" t="s">
        <v>340</v>
      </c>
      <c r="F966" s="29"/>
    </row>
    <row r="967" spans="1:6" ht="12.75">
      <c r="A967" s="10" t="s">
        <v>1</v>
      </c>
      <c r="B967" s="10" t="s">
        <v>11</v>
      </c>
      <c r="C967" s="10" t="s">
        <v>86</v>
      </c>
      <c r="D967" s="10" t="s">
        <v>87</v>
      </c>
      <c r="E967" s="10" t="s">
        <v>120</v>
      </c>
      <c r="F967" s="10" t="s">
        <v>141</v>
      </c>
    </row>
    <row r="968" spans="1:6" ht="12.75">
      <c r="A968" s="22" t="s">
        <v>6</v>
      </c>
      <c r="B968" s="22"/>
      <c r="C968" s="10"/>
      <c r="D968" s="5"/>
      <c r="E968" s="5"/>
      <c r="F968" s="5"/>
    </row>
    <row r="969" spans="1:6" ht="12.75">
      <c r="A969" s="5" t="s">
        <v>2</v>
      </c>
      <c r="B969" s="5"/>
      <c r="C969" s="10">
        <v>9</v>
      </c>
      <c r="D969" s="5"/>
      <c r="E969" s="5"/>
      <c r="F969" s="5"/>
    </row>
    <row r="970" spans="1:6" ht="12.75">
      <c r="A970" s="5" t="s">
        <v>3</v>
      </c>
      <c r="B970" s="5"/>
      <c r="C970" s="10">
        <v>2</v>
      </c>
      <c r="D970" s="5"/>
      <c r="E970" s="5"/>
      <c r="F970" s="5"/>
    </row>
    <row r="971" spans="1:6" ht="12.75">
      <c r="A971" s="5" t="s">
        <v>4</v>
      </c>
      <c r="B971" s="5"/>
      <c r="C971" s="10">
        <v>72</v>
      </c>
      <c r="D971" s="5"/>
      <c r="E971" s="5"/>
      <c r="F971" s="5"/>
    </row>
    <row r="972" spans="1:6" ht="12.75">
      <c r="A972" s="5" t="s">
        <v>5</v>
      </c>
      <c r="B972" s="10">
        <v>3887.7</v>
      </c>
      <c r="C972" s="10">
        <v>3887.7</v>
      </c>
      <c r="D972" s="10">
        <v>3887.7</v>
      </c>
      <c r="E972" s="10">
        <v>3887.7</v>
      </c>
      <c r="F972" s="10">
        <v>3887.7</v>
      </c>
    </row>
    <row r="973" spans="1:6" ht="24">
      <c r="A973" s="150" t="s">
        <v>7</v>
      </c>
      <c r="B973" s="150"/>
      <c r="C973" s="5" t="s">
        <v>36</v>
      </c>
      <c r="D973" s="5"/>
      <c r="E973" s="5"/>
      <c r="F973" s="5"/>
    </row>
    <row r="974" spans="1:6" ht="24">
      <c r="A974" s="151" t="s">
        <v>8</v>
      </c>
      <c r="B974" s="6">
        <f>C974+D974+E974+F974</f>
        <v>520811.14</v>
      </c>
      <c r="C974" s="10">
        <v>118307.31</v>
      </c>
      <c r="D974" s="5">
        <v>133748.63</v>
      </c>
      <c r="E974" s="10">
        <v>143358.47</v>
      </c>
      <c r="F974" s="10">
        <v>125396.73</v>
      </c>
    </row>
    <row r="975" spans="1:6" ht="22.5">
      <c r="A975" s="153" t="s">
        <v>9</v>
      </c>
      <c r="B975" s="6">
        <f>C975+D975+E975+F975</f>
        <v>0</v>
      </c>
      <c r="C975" s="10">
        <v>0</v>
      </c>
      <c r="D975" s="10">
        <v>0</v>
      </c>
      <c r="E975" s="10">
        <v>0</v>
      </c>
      <c r="F975" s="10">
        <v>0</v>
      </c>
    </row>
    <row r="976" spans="1:6" ht="12.75">
      <c r="A976" s="5" t="s">
        <v>11</v>
      </c>
      <c r="B976" s="150">
        <f>C976+D976+E976+F976</f>
        <v>520811.14</v>
      </c>
      <c r="C976" s="22">
        <f>C974+C975</f>
        <v>118307.31</v>
      </c>
      <c r="D976" s="155">
        <f>D974</f>
        <v>133748.63</v>
      </c>
      <c r="E976" s="10">
        <f>SUM(E974:E975)</f>
        <v>143358.47</v>
      </c>
      <c r="F976" s="10">
        <f>SUM(F974:F975)</f>
        <v>125396.73</v>
      </c>
    </row>
    <row r="977" spans="1:6" ht="24">
      <c r="A977" s="150" t="s">
        <v>12</v>
      </c>
      <c r="B977" s="150"/>
      <c r="C977" s="5"/>
      <c r="D977" s="5"/>
      <c r="E977" s="5"/>
      <c r="F977" s="5"/>
    </row>
    <row r="978" spans="1:7" ht="12.75">
      <c r="A978" s="156" t="s">
        <v>13</v>
      </c>
      <c r="B978" s="166">
        <f>C978+D978+E978+F978</f>
        <v>122761.7823813</v>
      </c>
      <c r="C978" s="157">
        <f>7.5947*C972</f>
        <v>29525.915189999996</v>
      </c>
      <c r="D978" s="157">
        <f>7.632*C972</f>
        <v>29670.926399999997</v>
      </c>
      <c r="E978" s="157">
        <f>8.5526*E972</f>
        <v>33249.94302</v>
      </c>
      <c r="F978" s="157">
        <f>7.797669*F972</f>
        <v>30314.997771299997</v>
      </c>
      <c r="G978" s="8"/>
    </row>
    <row r="979" spans="1:6" ht="21">
      <c r="A979" s="156" t="s">
        <v>14</v>
      </c>
      <c r="B979" s="167">
        <f aca="true" t="shared" si="16" ref="B979:B1023">C979+D979+E979+F979</f>
        <v>0</v>
      </c>
      <c r="C979" s="12"/>
      <c r="D979" s="171"/>
      <c r="E979" s="12"/>
      <c r="F979" s="12"/>
    </row>
    <row r="980" spans="1:6" ht="12.75">
      <c r="A980" s="153" t="s">
        <v>15</v>
      </c>
      <c r="B980" s="167">
        <f t="shared" si="16"/>
        <v>132862.09</v>
      </c>
      <c r="C980" s="12">
        <f>C981+C983</f>
        <v>28386.08</v>
      </c>
      <c r="D980" s="12">
        <f>D981+D983+D984+D985+D986+D987+D988</f>
        <v>37098.46</v>
      </c>
      <c r="E980" s="12">
        <f>E981+E983+E984+E985+E986+E987+E988</f>
        <v>35775.5</v>
      </c>
      <c r="F980" s="12">
        <f>F981+F983+F984+F985+F986+F987+F988</f>
        <v>31602.05</v>
      </c>
    </row>
    <row r="981" spans="1:6" ht="12.75">
      <c r="A981" s="158" t="s">
        <v>16</v>
      </c>
      <c r="B981" s="167">
        <f t="shared" si="16"/>
        <v>116929</v>
      </c>
      <c r="C981" s="165">
        <v>28152</v>
      </c>
      <c r="D981" s="12">
        <v>26415</v>
      </c>
      <c r="E981" s="12">
        <v>33344</v>
      </c>
      <c r="F981" s="12">
        <v>29018</v>
      </c>
    </row>
    <row r="982" spans="1:6" ht="12.75">
      <c r="A982" s="153" t="s">
        <v>33</v>
      </c>
      <c r="B982" s="167">
        <f t="shared" si="16"/>
        <v>71425</v>
      </c>
      <c r="C982" s="165">
        <v>15387</v>
      </c>
      <c r="D982" s="12">
        <v>16898</v>
      </c>
      <c r="E982" s="12">
        <v>19920</v>
      </c>
      <c r="F982" s="12">
        <v>19220</v>
      </c>
    </row>
    <row r="983" spans="1:6" ht="12.75">
      <c r="A983" s="153" t="s">
        <v>24</v>
      </c>
      <c r="B983" s="167">
        <f t="shared" si="16"/>
        <v>2291.59</v>
      </c>
      <c r="C983" s="12">
        <v>234.08</v>
      </c>
      <c r="D983" s="12">
        <v>563.46</v>
      </c>
      <c r="E983" s="30">
        <v>727</v>
      </c>
      <c r="F983" s="12">
        <v>767.05</v>
      </c>
    </row>
    <row r="984" spans="1:6" ht="12.75">
      <c r="A984" s="153" t="s">
        <v>17</v>
      </c>
      <c r="B984" s="167">
        <f t="shared" si="16"/>
        <v>0</v>
      </c>
      <c r="C984" s="12"/>
      <c r="D984" s="12"/>
      <c r="E984" s="12"/>
      <c r="F984" s="12"/>
    </row>
    <row r="985" spans="1:6" ht="12.75">
      <c r="A985" s="153" t="s">
        <v>128</v>
      </c>
      <c r="B985" s="167">
        <f t="shared" si="16"/>
        <v>0</v>
      </c>
      <c r="C985" s="12"/>
      <c r="D985" s="12"/>
      <c r="E985" s="12"/>
      <c r="F985" s="12"/>
    </row>
    <row r="986" spans="1:6" ht="12.75">
      <c r="A986" s="153" t="s">
        <v>486</v>
      </c>
      <c r="B986" s="167">
        <f t="shared" si="16"/>
        <v>4509</v>
      </c>
      <c r="C986" s="12"/>
      <c r="D986" s="12">
        <v>1250</v>
      </c>
      <c r="E986" s="12">
        <v>1442</v>
      </c>
      <c r="F986" s="12">
        <v>1817</v>
      </c>
    </row>
    <row r="987" spans="1:6" ht="12.75">
      <c r="A987" s="153" t="s">
        <v>88</v>
      </c>
      <c r="B987" s="167">
        <f t="shared" si="16"/>
        <v>262.5</v>
      </c>
      <c r="C987" s="12"/>
      <c r="D987" s="12"/>
      <c r="E987" s="12">
        <v>262.5</v>
      </c>
      <c r="F987" s="12"/>
    </row>
    <row r="988" spans="1:6" ht="12.75">
      <c r="A988" s="153" t="s">
        <v>252</v>
      </c>
      <c r="B988" s="167"/>
      <c r="C988" s="12"/>
      <c r="D988" s="12">
        <v>8870</v>
      </c>
      <c r="E988" s="12"/>
      <c r="F988" s="12"/>
    </row>
    <row r="989" spans="1:6" ht="12.75">
      <c r="A989" s="155" t="s">
        <v>11</v>
      </c>
      <c r="B989" s="166">
        <f>B978+B980</f>
        <v>255623.8723813</v>
      </c>
      <c r="C989" s="157">
        <f>C978+C980</f>
        <v>57911.99519</v>
      </c>
      <c r="D989" s="157">
        <f>D978+D980</f>
        <v>66769.38639999999</v>
      </c>
      <c r="E989" s="157">
        <f>E978+E980</f>
        <v>69025.44302</v>
      </c>
      <c r="F989" s="157">
        <f>F978+F980</f>
        <v>61917.0477713</v>
      </c>
    </row>
    <row r="990" spans="1:6" ht="21">
      <c r="A990" s="159" t="s">
        <v>18</v>
      </c>
      <c r="B990" s="167">
        <f t="shared" si="16"/>
        <v>0</v>
      </c>
      <c r="C990" s="12"/>
      <c r="D990" s="5"/>
      <c r="E990" s="12"/>
      <c r="F990" s="12"/>
    </row>
    <row r="991" spans="1:6" ht="12.75">
      <c r="A991" s="153" t="s">
        <v>23</v>
      </c>
      <c r="B991" s="167">
        <f t="shared" si="16"/>
        <v>95336.90079</v>
      </c>
      <c r="C991" s="165">
        <f>5.3352*C972</f>
        <v>20741.657040000002</v>
      </c>
      <c r="D991" s="12">
        <f>6.1735*C972</f>
        <v>24000.715949999998</v>
      </c>
      <c r="E991" s="12">
        <f>6.4099*E972</f>
        <v>24919.76823</v>
      </c>
      <c r="F991" s="12">
        <f>6.6041*F972</f>
        <v>25674.75957</v>
      </c>
    </row>
    <row r="992" spans="1:6" ht="12.75">
      <c r="A992" s="153" t="s">
        <v>383</v>
      </c>
      <c r="B992" s="167">
        <f t="shared" si="16"/>
        <v>0</v>
      </c>
      <c r="C992" s="12"/>
      <c r="D992" s="12"/>
      <c r="E992" s="12"/>
      <c r="F992" s="12"/>
    </row>
    <row r="993" spans="1:6" ht="12.75">
      <c r="A993" s="153" t="s">
        <v>105</v>
      </c>
      <c r="B993" s="167">
        <f t="shared" si="16"/>
        <v>0</v>
      </c>
      <c r="C993" s="12"/>
      <c r="D993" s="12"/>
      <c r="E993" s="12"/>
      <c r="F993" s="12"/>
    </row>
    <row r="994" spans="1:6" ht="12.75">
      <c r="A994" s="153" t="s">
        <v>30</v>
      </c>
      <c r="B994" s="167">
        <f t="shared" si="16"/>
        <v>25482</v>
      </c>
      <c r="C994" s="12">
        <v>15555</v>
      </c>
      <c r="D994" s="12">
        <v>4760</v>
      </c>
      <c r="E994" s="30">
        <v>3925</v>
      </c>
      <c r="F994" s="12">
        <v>1242</v>
      </c>
    </row>
    <row r="995" spans="1:6" ht="12.75">
      <c r="A995" s="153" t="s">
        <v>28</v>
      </c>
      <c r="B995" s="167">
        <f t="shared" si="16"/>
        <v>2775.8</v>
      </c>
      <c r="C995" s="12">
        <v>217</v>
      </c>
      <c r="D995" s="12"/>
      <c r="E995" s="30">
        <v>2008.8</v>
      </c>
      <c r="F995" s="12">
        <v>550</v>
      </c>
    </row>
    <row r="996" spans="1:6" ht="12.75">
      <c r="A996" s="153" t="s">
        <v>41</v>
      </c>
      <c r="B996" s="167">
        <f t="shared" si="16"/>
        <v>135</v>
      </c>
      <c r="C996" s="12"/>
      <c r="D996" s="12"/>
      <c r="E996" s="12"/>
      <c r="F996" s="12">
        <v>135</v>
      </c>
    </row>
    <row r="997" spans="1:6" ht="12.75">
      <c r="A997" s="153" t="s">
        <v>50</v>
      </c>
      <c r="B997" s="167">
        <f t="shared" si="16"/>
        <v>1495</v>
      </c>
      <c r="C997" s="12"/>
      <c r="D997" s="12">
        <v>1270</v>
      </c>
      <c r="E997" s="12"/>
      <c r="F997" s="12">
        <v>225</v>
      </c>
    </row>
    <row r="998" spans="1:6" ht="12.75">
      <c r="A998" s="153" t="s">
        <v>52</v>
      </c>
      <c r="B998" s="167">
        <f t="shared" si="16"/>
        <v>1951</v>
      </c>
      <c r="C998" s="12">
        <v>1951</v>
      </c>
      <c r="D998" s="12"/>
      <c r="E998" s="12"/>
      <c r="F998" s="12"/>
    </row>
    <row r="999" spans="1:6" ht="22.5">
      <c r="A999" s="153" t="s">
        <v>225</v>
      </c>
      <c r="B999" s="167">
        <f t="shared" si="16"/>
        <v>553.04</v>
      </c>
      <c r="C999" s="12">
        <v>553.04</v>
      </c>
      <c r="D999" s="12"/>
      <c r="E999" s="12"/>
      <c r="F999" s="12"/>
    </row>
    <row r="1000" spans="1:6" ht="12.75">
      <c r="A1000" s="153" t="s">
        <v>27</v>
      </c>
      <c r="B1000" s="167">
        <f t="shared" si="16"/>
        <v>253</v>
      </c>
      <c r="C1000" s="12"/>
      <c r="D1000" s="12"/>
      <c r="E1000" s="30">
        <v>253</v>
      </c>
      <c r="F1000" s="12"/>
    </row>
    <row r="1001" spans="1:6" ht="22.5">
      <c r="A1001" s="153" t="s">
        <v>457</v>
      </c>
      <c r="B1001" s="167">
        <f t="shared" si="16"/>
        <v>12600</v>
      </c>
      <c r="C1001" s="12"/>
      <c r="D1001" s="12"/>
      <c r="E1001" s="12"/>
      <c r="F1001" s="12">
        <v>12600</v>
      </c>
    </row>
    <row r="1002" spans="1:6" ht="12.75">
      <c r="A1002" s="153" t="s">
        <v>384</v>
      </c>
      <c r="B1002" s="167">
        <f t="shared" si="16"/>
        <v>8463</v>
      </c>
      <c r="C1002" s="12"/>
      <c r="D1002" s="12">
        <v>6828</v>
      </c>
      <c r="E1002" s="12">
        <v>1635</v>
      </c>
      <c r="F1002" s="12"/>
    </row>
    <row r="1003" spans="1:6" ht="12.75">
      <c r="A1003" s="153" t="s">
        <v>47</v>
      </c>
      <c r="B1003" s="167">
        <f t="shared" si="16"/>
        <v>0</v>
      </c>
      <c r="C1003" s="12"/>
      <c r="D1003" s="12"/>
      <c r="E1003" s="12"/>
      <c r="F1003" s="12"/>
    </row>
    <row r="1004" spans="1:6" ht="12.75">
      <c r="A1004" s="153" t="s">
        <v>453</v>
      </c>
      <c r="B1004" s="167">
        <f t="shared" si="16"/>
        <v>977</v>
      </c>
      <c r="C1004" s="12"/>
      <c r="D1004" s="12"/>
      <c r="E1004" s="12"/>
      <c r="F1004" s="12">
        <v>977</v>
      </c>
    </row>
    <row r="1005" spans="1:6" ht="12.75">
      <c r="A1005" s="153" t="s">
        <v>48</v>
      </c>
      <c r="B1005" s="167">
        <f t="shared" si="16"/>
        <v>34877.3</v>
      </c>
      <c r="C1005" s="12"/>
      <c r="D1005" s="12"/>
      <c r="E1005" s="12">
        <v>34877.3</v>
      </c>
      <c r="F1005" s="12"/>
    </row>
    <row r="1006" spans="1:6" ht="12.75">
      <c r="A1006" s="153" t="s">
        <v>385</v>
      </c>
      <c r="B1006" s="167">
        <f t="shared" si="16"/>
        <v>734.5</v>
      </c>
      <c r="C1006" s="12"/>
      <c r="D1006" s="12">
        <v>0</v>
      </c>
      <c r="E1006" s="30">
        <v>734.5</v>
      </c>
      <c r="F1006" s="12"/>
    </row>
    <row r="1007" spans="1:6" ht="12.75">
      <c r="A1007" s="153" t="s">
        <v>251</v>
      </c>
      <c r="B1007" s="167">
        <f t="shared" si="16"/>
        <v>11540</v>
      </c>
      <c r="C1007" s="12"/>
      <c r="D1007" s="12">
        <v>4250</v>
      </c>
      <c r="E1007" s="30">
        <v>7290</v>
      </c>
      <c r="F1007" s="12"/>
    </row>
    <row r="1008" spans="1:6" ht="12.75">
      <c r="A1008" s="153" t="s">
        <v>487</v>
      </c>
      <c r="B1008" s="167">
        <f t="shared" si="16"/>
        <v>27000</v>
      </c>
      <c r="C1008" s="12"/>
      <c r="D1008" s="12"/>
      <c r="E1008" s="12"/>
      <c r="F1008" s="12">
        <v>27000</v>
      </c>
    </row>
    <row r="1009" spans="1:6" ht="12.75">
      <c r="A1009" s="153" t="s">
        <v>386</v>
      </c>
      <c r="B1009" s="167">
        <f t="shared" si="16"/>
        <v>2540</v>
      </c>
      <c r="C1009" s="12"/>
      <c r="D1009" s="12"/>
      <c r="E1009" s="30">
        <v>2540</v>
      </c>
      <c r="F1009" s="12"/>
    </row>
    <row r="1010" spans="1:6" ht="12.75">
      <c r="A1010" s="153" t="s">
        <v>271</v>
      </c>
      <c r="B1010" s="167">
        <f t="shared" si="16"/>
        <v>299</v>
      </c>
      <c r="C1010" s="12"/>
      <c r="D1010" s="12">
        <v>299</v>
      </c>
      <c r="E1010" s="12"/>
      <c r="F1010" s="12"/>
    </row>
    <row r="1011" spans="1:6" ht="22.5">
      <c r="A1011" s="153" t="s">
        <v>484</v>
      </c>
      <c r="B1011" s="167">
        <f t="shared" si="16"/>
        <v>6</v>
      </c>
      <c r="C1011" s="12">
        <v>6</v>
      </c>
      <c r="D1011" s="12"/>
      <c r="E1011" s="12"/>
      <c r="F1011" s="30">
        <v>0</v>
      </c>
    </row>
    <row r="1012" spans="1:6" ht="12.75">
      <c r="A1012" s="153" t="s">
        <v>488</v>
      </c>
      <c r="B1012" s="167">
        <f t="shared" si="16"/>
        <v>210694</v>
      </c>
      <c r="C1012" s="12"/>
      <c r="D1012" s="12">
        <v>73687</v>
      </c>
      <c r="E1012" s="30">
        <v>52807</v>
      </c>
      <c r="F1012" s="12">
        <v>84200</v>
      </c>
    </row>
    <row r="1013" spans="1:6" ht="12.75">
      <c r="A1013" s="153" t="s">
        <v>489</v>
      </c>
      <c r="B1013" s="167">
        <f t="shared" si="16"/>
        <v>465</v>
      </c>
      <c r="C1013" s="12"/>
      <c r="D1013" s="12"/>
      <c r="E1013" s="12"/>
      <c r="F1013" s="12">
        <v>465</v>
      </c>
    </row>
    <row r="1014" spans="1:6" ht="12.75">
      <c r="A1014" s="155" t="s">
        <v>11</v>
      </c>
      <c r="B1014" s="166">
        <f t="shared" si="16"/>
        <v>438177.54079</v>
      </c>
      <c r="C1014" s="157">
        <f>C991+C992+C993+C994+C995+C996+C997+C998+C999+C1000+C1001+C1002+C1003+C1004+C1005+C1006+C1007+C1008+C1009+C1010+C1011+C1012</f>
        <v>39023.69704000001</v>
      </c>
      <c r="D1014" s="157">
        <f>SUM(D991:D1013)</f>
        <v>115094.71595</v>
      </c>
      <c r="E1014" s="157">
        <f>SUM(E991:E1013)</f>
        <v>130990.36823000001</v>
      </c>
      <c r="F1014" s="157">
        <f>SUM(F991:F1013)</f>
        <v>153068.75957</v>
      </c>
    </row>
    <row r="1015" spans="1:6" ht="12.75">
      <c r="A1015" s="155" t="s">
        <v>19</v>
      </c>
      <c r="B1015" s="167">
        <f t="shared" si="16"/>
        <v>0</v>
      </c>
      <c r="C1015" s="12"/>
      <c r="D1015" s="5"/>
      <c r="E1015" s="12"/>
      <c r="F1015" s="12"/>
    </row>
    <row r="1016" spans="1:6" ht="12.75">
      <c r="A1016" s="153" t="s">
        <v>38</v>
      </c>
      <c r="B1016" s="167">
        <f t="shared" si="16"/>
        <v>3268.1289140999997</v>
      </c>
      <c r="C1016" s="12">
        <f>0.218666*C972</f>
        <v>850.1078081999999</v>
      </c>
      <c r="D1016" s="12">
        <f>0.210458*C972</f>
        <v>818.1975666</v>
      </c>
      <c r="E1016" s="12">
        <f>0.167241*E972</f>
        <v>650.1828356999999</v>
      </c>
      <c r="F1016" s="12">
        <f>0.244268*F972</f>
        <v>949.6407036</v>
      </c>
    </row>
    <row r="1017" spans="1:6" ht="12.75">
      <c r="A1017" s="153" t="s">
        <v>39</v>
      </c>
      <c r="B1017" s="167">
        <f t="shared" si="16"/>
        <v>6480.480996300001</v>
      </c>
      <c r="C1017" s="12">
        <f>0.306583*C972</f>
        <v>1191.9027291</v>
      </c>
      <c r="D1017" s="12">
        <f>0.0733554*C972</f>
        <v>285.18378858</v>
      </c>
      <c r="E1017" s="12">
        <f>0.536065*E972</f>
        <v>2084.0599005</v>
      </c>
      <c r="F1017" s="12">
        <f>0.7509156*F972</f>
        <v>2919.33457812</v>
      </c>
    </row>
    <row r="1018" spans="1:6" ht="12.75">
      <c r="A1018" s="153" t="s">
        <v>148</v>
      </c>
      <c r="B1018" s="167">
        <f t="shared" si="16"/>
        <v>0</v>
      </c>
      <c r="C1018" s="12"/>
      <c r="D1018" s="12"/>
      <c r="E1018" s="12"/>
      <c r="F1018" s="12"/>
    </row>
    <row r="1019" spans="1:6" ht="12.75">
      <c r="A1019" s="153" t="s">
        <v>37</v>
      </c>
      <c r="B1019" s="167">
        <f t="shared" si="16"/>
        <v>8372.374995959999</v>
      </c>
      <c r="C1019" s="12">
        <f>0.70476*C972</f>
        <v>2739.895452</v>
      </c>
      <c r="D1019" s="12">
        <f>0.3731258*C972</f>
        <v>1450.60117266</v>
      </c>
      <c r="E1019" s="12">
        <f>0.553205*E972</f>
        <v>2150.6950785</v>
      </c>
      <c r="F1019" s="12">
        <f>0.522464*F972</f>
        <v>2031.1832928000001</v>
      </c>
    </row>
    <row r="1020" spans="1:6" ht="12.75">
      <c r="A1020" s="153" t="s">
        <v>20</v>
      </c>
      <c r="B1020" s="167">
        <f t="shared" si="16"/>
        <v>3095.8843656</v>
      </c>
      <c r="C1020" s="12"/>
      <c r="D1020" s="12">
        <f>0.158142*C972</f>
        <v>614.8086534</v>
      </c>
      <c r="E1020" s="12">
        <f>0.60489*E972</f>
        <v>2351.630853</v>
      </c>
      <c r="F1020" s="12">
        <f>0.033296*F972</f>
        <v>129.4448592</v>
      </c>
    </row>
    <row r="1021" spans="1:6" ht="12.75">
      <c r="A1021" s="156" t="s">
        <v>11</v>
      </c>
      <c r="B1021" s="166">
        <f t="shared" si="16"/>
        <v>21216.86927196</v>
      </c>
      <c r="C1021" s="157">
        <f>C1016+C1017+C1018+C1019+C1020</f>
        <v>4781.9059893</v>
      </c>
      <c r="D1021" s="157">
        <f>SUM(D1016:D1020)</f>
        <v>3168.79118124</v>
      </c>
      <c r="E1021" s="157">
        <f>SUM(E1016:E1020)</f>
        <v>7236.568667699999</v>
      </c>
      <c r="F1021" s="157">
        <f>SUM(F1016:F1020)</f>
        <v>6029.60343372</v>
      </c>
    </row>
    <row r="1022" spans="1:6" ht="12.75">
      <c r="A1022" s="153" t="s">
        <v>101</v>
      </c>
      <c r="B1022" s="167">
        <f t="shared" si="16"/>
        <v>2536.4856271999997</v>
      </c>
      <c r="C1022" s="157">
        <f>0.0644*C972</f>
        <v>250.36787999999999</v>
      </c>
      <c r="D1022" s="157">
        <v>215</v>
      </c>
      <c r="E1022" s="12">
        <f>0.10264*E972</f>
        <v>399.033528</v>
      </c>
      <c r="F1022" s="12">
        <f>0.430096*F972</f>
        <v>1672.0842191999998</v>
      </c>
    </row>
    <row r="1023" spans="1:6" ht="33.75">
      <c r="A1023" s="161" t="s">
        <v>21</v>
      </c>
      <c r="B1023" s="166">
        <f t="shared" si="16"/>
        <v>717554.7680704601</v>
      </c>
      <c r="C1023" s="157">
        <f>C989+C1014+C1021+C1022</f>
        <v>101967.96609930001</v>
      </c>
      <c r="D1023" s="157">
        <f>D989+D1014+D1021+D1022</f>
        <v>185247.89353124</v>
      </c>
      <c r="E1023" s="157">
        <f>E989+E1014+E1021+E1022</f>
        <v>207651.41344570002</v>
      </c>
      <c r="F1023" s="157">
        <f>F989+F1014+F1021+F1022</f>
        <v>222687.49499422003</v>
      </c>
    </row>
    <row r="1024" spans="1:6" ht="33.75">
      <c r="A1024" s="161" t="s">
        <v>22</v>
      </c>
      <c r="B1024" s="162">
        <f>B1023/12/C972</f>
        <v>15.380875754954946</v>
      </c>
      <c r="C1024" s="14">
        <f>C1023/C972/3</f>
        <v>8.742784173958897</v>
      </c>
      <c r="D1024" s="14">
        <f>D1023/3/C972</f>
        <v>15.883246609498332</v>
      </c>
      <c r="E1024" s="14">
        <f>E1023/3/C972</f>
        <v>17.804135559645378</v>
      </c>
      <c r="F1024" s="14">
        <f>F1023/3/C972</f>
        <v>19.093336676717172</v>
      </c>
    </row>
    <row r="1025" spans="1:6" ht="12.75">
      <c r="A1025" s="163" t="s">
        <v>34</v>
      </c>
      <c r="B1025" s="164">
        <f>B976-B1023</f>
        <v>-196743.62807046005</v>
      </c>
      <c r="C1025" s="165">
        <f>C976-C1023</f>
        <v>16339.343900699983</v>
      </c>
      <c r="D1025" s="165">
        <f>D976-D1023+C1025</f>
        <v>-35159.91963054001</v>
      </c>
      <c r="E1025" s="165">
        <f>E976-E1023-35161</f>
        <v>-99453.94344570002</v>
      </c>
      <c r="F1025" s="165">
        <f>F976-F1023-99454</f>
        <v>-196744.76499422005</v>
      </c>
    </row>
    <row r="1026" spans="1:6" ht="12.75">
      <c r="A1026" s="29" t="s">
        <v>44</v>
      </c>
      <c r="B1026" s="29"/>
      <c r="C1026" s="29"/>
      <c r="D1026" s="29"/>
      <c r="E1026" s="29"/>
      <c r="F1026" s="29"/>
    </row>
    <row r="1027" spans="1:6" ht="12.75">
      <c r="A1027" s="29" t="s">
        <v>45</v>
      </c>
      <c r="B1027" s="29"/>
      <c r="C1027" s="29"/>
      <c r="D1027" s="29"/>
      <c r="E1027" s="29"/>
      <c r="F1027" s="29"/>
    </row>
    <row r="1028" spans="1:6" ht="12.75">
      <c r="A1028" s="29" t="s">
        <v>579</v>
      </c>
      <c r="B1028" s="29"/>
      <c r="C1028" s="29"/>
      <c r="D1028" s="29"/>
      <c r="E1028" s="29"/>
      <c r="F1028" s="29"/>
    </row>
    <row r="1029" spans="1:6" ht="267" customHeight="1">
      <c r="A1029" s="29"/>
      <c r="B1029" s="29"/>
      <c r="C1029" s="29"/>
      <c r="D1029" s="29"/>
      <c r="E1029" s="29"/>
      <c r="F1029" s="29"/>
    </row>
    <row r="1030" spans="1:6" ht="12.75">
      <c r="A1030" s="120" t="s">
        <v>35</v>
      </c>
      <c r="B1030" s="120"/>
      <c r="C1030" s="29"/>
      <c r="D1030" s="29"/>
      <c r="E1030" s="29"/>
      <c r="F1030" s="29"/>
    </row>
    <row r="1031" spans="1:6" ht="12.75">
      <c r="A1031" s="29" t="s">
        <v>616</v>
      </c>
      <c r="B1031" s="29"/>
      <c r="C1031" s="29"/>
      <c r="D1031" s="29"/>
      <c r="E1031" s="29"/>
      <c r="F1031" s="29"/>
    </row>
    <row r="1032" spans="1:6" ht="12.75">
      <c r="A1032" s="29" t="s">
        <v>224</v>
      </c>
      <c r="B1032" s="29"/>
      <c r="C1032" s="29"/>
      <c r="D1032" s="29"/>
      <c r="E1032" s="29"/>
      <c r="F1032" s="29"/>
    </row>
    <row r="1033" spans="1:6" ht="12.75">
      <c r="A1033" s="29" t="s">
        <v>600</v>
      </c>
      <c r="B1033" s="29"/>
      <c r="C1033" s="29"/>
      <c r="D1033" s="29"/>
      <c r="E1033" s="29" t="s">
        <v>340</v>
      </c>
      <c r="F1033" s="29"/>
    </row>
    <row r="1034" spans="1:6" ht="12.75">
      <c r="A1034" s="10" t="s">
        <v>1</v>
      </c>
      <c r="B1034" s="10" t="s">
        <v>11</v>
      </c>
      <c r="C1034" s="10" t="s">
        <v>86</v>
      </c>
      <c r="D1034" s="10" t="s">
        <v>87</v>
      </c>
      <c r="E1034" s="10" t="s">
        <v>120</v>
      </c>
      <c r="F1034" s="10" t="s">
        <v>141</v>
      </c>
    </row>
    <row r="1035" spans="1:6" ht="12.75">
      <c r="A1035" s="22" t="s">
        <v>6</v>
      </c>
      <c r="B1035" s="22"/>
      <c r="C1035" s="10"/>
      <c r="D1035" s="5"/>
      <c r="E1035" s="5"/>
      <c r="F1035" s="5"/>
    </row>
    <row r="1036" spans="1:6" ht="12.75">
      <c r="A1036" s="5" t="s">
        <v>2</v>
      </c>
      <c r="B1036" s="5"/>
      <c r="C1036" s="10">
        <v>5</v>
      </c>
      <c r="D1036" s="5"/>
      <c r="E1036" s="5"/>
      <c r="F1036" s="5"/>
    </row>
    <row r="1037" spans="1:6" ht="12.75">
      <c r="A1037" s="5" t="s">
        <v>3</v>
      </c>
      <c r="B1037" s="5"/>
      <c r="C1037" s="10">
        <v>6</v>
      </c>
      <c r="D1037" s="5"/>
      <c r="E1037" s="5"/>
      <c r="F1037" s="5"/>
    </row>
    <row r="1038" spans="1:6" ht="12.75">
      <c r="A1038" s="5" t="s">
        <v>4</v>
      </c>
      <c r="B1038" s="5"/>
      <c r="C1038" s="10">
        <v>60</v>
      </c>
      <c r="D1038" s="5"/>
      <c r="E1038" s="5"/>
      <c r="F1038" s="5"/>
    </row>
    <row r="1039" spans="1:6" ht="12.75">
      <c r="A1039" s="5" t="s">
        <v>5</v>
      </c>
      <c r="B1039" s="10">
        <v>3615.45</v>
      </c>
      <c r="C1039" s="10">
        <v>3615.45</v>
      </c>
      <c r="D1039" s="10">
        <v>3615.45</v>
      </c>
      <c r="E1039" s="10">
        <v>3615.45</v>
      </c>
      <c r="F1039" s="10">
        <v>3615.45</v>
      </c>
    </row>
    <row r="1040" spans="1:6" ht="24">
      <c r="A1040" s="150" t="s">
        <v>7</v>
      </c>
      <c r="B1040" s="150"/>
      <c r="C1040" s="5" t="s">
        <v>36</v>
      </c>
      <c r="D1040" s="5"/>
      <c r="E1040" s="5"/>
      <c r="F1040" s="5"/>
    </row>
    <row r="1041" spans="1:6" ht="24">
      <c r="A1041" s="151" t="s">
        <v>8</v>
      </c>
      <c r="B1041" s="6">
        <f>C1041+D1041+E1041+F1041</f>
        <v>387297.69999999995</v>
      </c>
      <c r="C1041" s="10">
        <v>98843.37</v>
      </c>
      <c r="D1041" s="13">
        <v>93390</v>
      </c>
      <c r="E1041" s="10">
        <v>96077.04</v>
      </c>
      <c r="F1041" s="10">
        <v>98987.29</v>
      </c>
    </row>
    <row r="1042" spans="1:6" ht="22.5">
      <c r="A1042" s="153" t="s">
        <v>9</v>
      </c>
      <c r="B1042" s="6">
        <f>C1042+D1042+E1042+F1042</f>
        <v>0</v>
      </c>
      <c r="C1042" s="10">
        <v>0</v>
      </c>
      <c r="D1042" s="13">
        <v>0</v>
      </c>
      <c r="E1042" s="10">
        <v>0</v>
      </c>
      <c r="F1042" s="10">
        <v>0</v>
      </c>
    </row>
    <row r="1043" spans="1:6" ht="12.75">
      <c r="A1043" s="5" t="s">
        <v>11</v>
      </c>
      <c r="B1043" s="150">
        <f>C1043+D1043+E1043+F1043</f>
        <v>387297.69999999995</v>
      </c>
      <c r="C1043" s="22">
        <f>C1041+C1042</f>
        <v>98843.37</v>
      </c>
      <c r="D1043" s="179">
        <f>D1041</f>
        <v>93390</v>
      </c>
      <c r="E1043" s="22">
        <f>SUM(E1041:E1042)</f>
        <v>96077.04</v>
      </c>
      <c r="F1043" s="22">
        <f>SUM(F1041:F1042)</f>
        <v>98987.29</v>
      </c>
    </row>
    <row r="1044" spans="1:6" ht="24">
      <c r="A1044" s="150" t="s">
        <v>12</v>
      </c>
      <c r="B1044" s="150"/>
      <c r="C1044" s="5"/>
      <c r="D1044" s="5"/>
      <c r="E1044" s="5"/>
      <c r="F1044" s="5"/>
    </row>
    <row r="1045" spans="1:7" ht="12.75">
      <c r="A1045" s="156" t="s">
        <v>13</v>
      </c>
      <c r="B1045" s="166">
        <f>C1045+D1045+E1045+F1045</f>
        <v>114164.95257104999</v>
      </c>
      <c r="C1045" s="157">
        <f>7.5947*C1039</f>
        <v>27458.258114999997</v>
      </c>
      <c r="D1045" s="157">
        <f>7.632*C1039</f>
        <v>27593.1144</v>
      </c>
      <c r="E1045" s="157">
        <f>8.5526*E1039</f>
        <v>30921.497669999997</v>
      </c>
      <c r="F1045" s="157">
        <f>7.797669*F1039</f>
        <v>28192.08238605</v>
      </c>
      <c r="G1045" s="8"/>
    </row>
    <row r="1046" spans="1:6" ht="21">
      <c r="A1046" s="156" t="s">
        <v>14</v>
      </c>
      <c r="B1046" s="167">
        <f aca="true" t="shared" si="17" ref="B1046:B1090">C1046+D1046+E1046+F1046</f>
        <v>0</v>
      </c>
      <c r="C1046" s="12"/>
      <c r="D1046" s="12"/>
      <c r="E1046" s="12"/>
      <c r="F1046" s="12"/>
    </row>
    <row r="1047" spans="1:6" ht="12.75">
      <c r="A1047" s="153" t="s">
        <v>15</v>
      </c>
      <c r="B1047" s="167">
        <f t="shared" si="17"/>
        <v>131216.02</v>
      </c>
      <c r="C1047" s="12">
        <f>C1048+C1050</f>
        <v>28518.91</v>
      </c>
      <c r="D1047" s="12">
        <f>D1048+D1050+D1051+D1052+D1053+D1054+D1055</f>
        <v>33892</v>
      </c>
      <c r="E1047" s="12">
        <f>E1048+E1050+E1051+E1052+E1053+E1054+E1055</f>
        <v>37383.87</v>
      </c>
      <c r="F1047" s="12">
        <f>F1048+F1050+F1051+F1052+F1053+F1054+F1055</f>
        <v>31421.24</v>
      </c>
    </row>
    <row r="1048" spans="1:6" ht="12.75">
      <c r="A1048" s="158" t="s">
        <v>16</v>
      </c>
      <c r="B1048" s="167">
        <f t="shared" si="17"/>
        <v>120107</v>
      </c>
      <c r="C1048" s="165">
        <v>28307</v>
      </c>
      <c r="D1048" s="12">
        <v>27008</v>
      </c>
      <c r="E1048" s="12">
        <v>34082</v>
      </c>
      <c r="F1048" s="12">
        <v>30710</v>
      </c>
    </row>
    <row r="1049" spans="1:6" ht="12.75">
      <c r="A1049" s="153" t="s">
        <v>33</v>
      </c>
      <c r="B1049" s="167">
        <f t="shared" si="17"/>
        <v>77789.36</v>
      </c>
      <c r="C1049" s="165">
        <v>16436.36</v>
      </c>
      <c r="D1049" s="12">
        <v>18157</v>
      </c>
      <c r="E1049" s="12">
        <v>21598</v>
      </c>
      <c r="F1049" s="12">
        <v>21598</v>
      </c>
    </row>
    <row r="1050" spans="1:6" ht="12.75">
      <c r="A1050" s="153" t="s">
        <v>24</v>
      </c>
      <c r="B1050" s="167">
        <f t="shared" si="17"/>
        <v>2114.52</v>
      </c>
      <c r="C1050" s="12">
        <v>211.91</v>
      </c>
      <c r="D1050" s="12">
        <v>509</v>
      </c>
      <c r="E1050" s="12">
        <v>682.37</v>
      </c>
      <c r="F1050" s="12">
        <v>711.24</v>
      </c>
    </row>
    <row r="1051" spans="1:6" ht="12.75">
      <c r="A1051" s="153" t="s">
        <v>17</v>
      </c>
      <c r="B1051" s="167">
        <f t="shared" si="17"/>
        <v>0</v>
      </c>
      <c r="C1051" s="12"/>
      <c r="D1051" s="12"/>
      <c r="E1051" s="12"/>
      <c r="F1051" s="12"/>
    </row>
    <row r="1052" spans="1:6" ht="12.75">
      <c r="A1052" s="153" t="s">
        <v>272</v>
      </c>
      <c r="B1052" s="167">
        <f t="shared" si="17"/>
        <v>1410</v>
      </c>
      <c r="C1052" s="12"/>
      <c r="D1052" s="12">
        <v>1410</v>
      </c>
      <c r="E1052" s="12"/>
      <c r="F1052" s="12"/>
    </row>
    <row r="1053" spans="1:6" ht="22.5">
      <c r="A1053" s="153" t="s">
        <v>577</v>
      </c>
      <c r="B1053" s="167">
        <f t="shared" si="17"/>
        <v>1275.5</v>
      </c>
      <c r="C1053" s="12"/>
      <c r="D1053" s="12">
        <v>1013</v>
      </c>
      <c r="E1053" s="12">
        <v>262.5</v>
      </c>
      <c r="F1053" s="12"/>
    </row>
    <row r="1054" spans="1:6" ht="12.75">
      <c r="A1054" s="153" t="s">
        <v>106</v>
      </c>
      <c r="B1054" s="167">
        <f t="shared" si="17"/>
        <v>50</v>
      </c>
      <c r="C1054" s="12"/>
      <c r="D1054" s="12">
        <v>50</v>
      </c>
      <c r="E1054" s="12"/>
      <c r="F1054" s="12"/>
    </row>
    <row r="1055" spans="1:6" ht="12.75">
      <c r="A1055" s="153" t="s">
        <v>387</v>
      </c>
      <c r="B1055" s="167">
        <f t="shared" si="17"/>
        <v>6259</v>
      </c>
      <c r="C1055" s="12"/>
      <c r="D1055" s="12">
        <v>3902</v>
      </c>
      <c r="E1055" s="12">
        <v>2357</v>
      </c>
      <c r="F1055" s="12"/>
    </row>
    <row r="1056" spans="1:6" ht="12.75">
      <c r="A1056" s="155" t="s">
        <v>11</v>
      </c>
      <c r="B1056" s="166">
        <f t="shared" si="17"/>
        <v>245380.97257105</v>
      </c>
      <c r="C1056" s="157">
        <f>C1045+C1047</f>
        <v>55977.16811499999</v>
      </c>
      <c r="D1056" s="157">
        <f>D1045+D1047</f>
        <v>61485.1144</v>
      </c>
      <c r="E1056" s="157">
        <f>E1045+E1047</f>
        <v>68305.36767</v>
      </c>
      <c r="F1056" s="157">
        <f>F1045+F1047</f>
        <v>59613.32238605</v>
      </c>
    </row>
    <row r="1057" spans="1:6" ht="21">
      <c r="A1057" s="159" t="s">
        <v>18</v>
      </c>
      <c r="B1057" s="167">
        <f t="shared" si="17"/>
        <v>0</v>
      </c>
      <c r="C1057" s="12"/>
      <c r="D1057" s="5"/>
      <c r="E1057" s="12"/>
      <c r="F1057" s="12"/>
    </row>
    <row r="1058" spans="1:6" ht="12.75">
      <c r="A1058" s="153" t="s">
        <v>23</v>
      </c>
      <c r="B1058" s="167">
        <f t="shared" si="17"/>
        <v>88660.595715</v>
      </c>
      <c r="C1058" s="165">
        <f>5.3352*C1039</f>
        <v>19289.14884</v>
      </c>
      <c r="D1058" s="12">
        <f>6.1735*C1039</f>
        <v>22319.980574999998</v>
      </c>
      <c r="E1058" s="12">
        <f>6.4099*E1039</f>
        <v>23174.672955000002</v>
      </c>
      <c r="F1058" s="12">
        <f>6.6041*F1039</f>
        <v>23876.793345</v>
      </c>
    </row>
    <row r="1059" spans="1:6" ht="12.75">
      <c r="A1059" s="153" t="s">
        <v>576</v>
      </c>
      <c r="B1059" s="167">
        <f t="shared" si="17"/>
        <v>251640</v>
      </c>
      <c r="C1059" s="12"/>
      <c r="D1059" s="12"/>
      <c r="E1059" s="12"/>
      <c r="F1059" s="12">
        <v>251640</v>
      </c>
    </row>
    <row r="1060" spans="1:6" ht="12.75">
      <c r="A1060" s="153" t="s">
        <v>25</v>
      </c>
      <c r="B1060" s="167">
        <f t="shared" si="17"/>
        <v>0</v>
      </c>
      <c r="C1060" s="12"/>
      <c r="D1060" s="12"/>
      <c r="E1060" s="12"/>
      <c r="F1060" s="12"/>
    </row>
    <row r="1061" spans="1:6" ht="12.75">
      <c r="A1061" s="153" t="s">
        <v>30</v>
      </c>
      <c r="B1061" s="167">
        <f t="shared" si="17"/>
        <v>64573.85</v>
      </c>
      <c r="C1061" s="12">
        <v>14583.85</v>
      </c>
      <c r="D1061" s="12">
        <v>7040</v>
      </c>
      <c r="E1061" s="12">
        <v>29081</v>
      </c>
      <c r="F1061" s="12">
        <v>13869</v>
      </c>
    </row>
    <row r="1062" spans="1:6" ht="12.75">
      <c r="A1062" s="153" t="s">
        <v>28</v>
      </c>
      <c r="B1062" s="167">
        <f t="shared" si="17"/>
        <v>6575</v>
      </c>
      <c r="C1062" s="12"/>
      <c r="D1062" s="12"/>
      <c r="E1062" s="12">
        <v>5025</v>
      </c>
      <c r="F1062" s="12">
        <v>1550</v>
      </c>
    </row>
    <row r="1063" spans="1:6" ht="12.75">
      <c r="A1063" s="153" t="s">
        <v>41</v>
      </c>
      <c r="B1063" s="167">
        <f t="shared" si="17"/>
        <v>7325</v>
      </c>
      <c r="C1063" s="12">
        <v>921</v>
      </c>
      <c r="D1063" s="12">
        <v>3439</v>
      </c>
      <c r="E1063" s="12">
        <v>1885</v>
      </c>
      <c r="F1063" s="12">
        <v>1080</v>
      </c>
    </row>
    <row r="1064" spans="1:6" ht="12.75">
      <c r="A1064" s="153" t="s">
        <v>50</v>
      </c>
      <c r="B1064" s="167">
        <f t="shared" si="17"/>
        <v>22035.03</v>
      </c>
      <c r="C1064" s="12">
        <v>2901.53</v>
      </c>
      <c r="D1064" s="12">
        <v>14151.5</v>
      </c>
      <c r="E1064" s="12">
        <v>1806</v>
      </c>
      <c r="F1064" s="12">
        <v>3176</v>
      </c>
    </row>
    <row r="1065" spans="1:6" ht="12.75">
      <c r="A1065" s="153" t="s">
        <v>52</v>
      </c>
      <c r="B1065" s="167">
        <f t="shared" si="17"/>
        <v>58450.21</v>
      </c>
      <c r="C1065" s="12">
        <v>7251.21</v>
      </c>
      <c r="D1065" s="12">
        <v>7519</v>
      </c>
      <c r="E1065" s="12"/>
      <c r="F1065" s="12">
        <v>43680</v>
      </c>
    </row>
    <row r="1066" spans="1:6" ht="22.5">
      <c r="A1066" s="153" t="s">
        <v>225</v>
      </c>
      <c r="B1066" s="167">
        <f t="shared" si="17"/>
        <v>518.19</v>
      </c>
      <c r="C1066" s="12">
        <v>518.19</v>
      </c>
      <c r="D1066" s="12"/>
      <c r="E1066" s="12"/>
      <c r="F1066" s="12"/>
    </row>
    <row r="1067" spans="1:6" ht="12.75">
      <c r="A1067" s="153" t="s">
        <v>27</v>
      </c>
      <c r="B1067" s="167">
        <f t="shared" si="17"/>
        <v>482.5</v>
      </c>
      <c r="C1067" s="12"/>
      <c r="D1067" s="12"/>
      <c r="E1067" s="12">
        <v>142.5</v>
      </c>
      <c r="F1067" s="12">
        <v>340</v>
      </c>
    </row>
    <row r="1068" spans="1:6" ht="22.5">
      <c r="A1068" s="153" t="s">
        <v>578</v>
      </c>
      <c r="B1068" s="167">
        <f t="shared" si="17"/>
        <v>1025</v>
      </c>
      <c r="C1068" s="12">
        <v>1025</v>
      </c>
      <c r="D1068" s="12"/>
      <c r="E1068" s="12"/>
      <c r="F1068" s="12">
        <v>0</v>
      </c>
    </row>
    <row r="1069" spans="1:6" ht="12.75">
      <c r="A1069" s="153" t="s">
        <v>46</v>
      </c>
      <c r="B1069" s="167">
        <f t="shared" si="17"/>
        <v>0</v>
      </c>
      <c r="C1069" s="12"/>
      <c r="D1069" s="12"/>
      <c r="E1069" s="12"/>
      <c r="F1069" s="12"/>
    </row>
    <row r="1070" spans="1:6" ht="12.75">
      <c r="A1070" s="153" t="s">
        <v>47</v>
      </c>
      <c r="B1070" s="167">
        <f t="shared" si="17"/>
        <v>540</v>
      </c>
      <c r="C1070" s="12">
        <v>210</v>
      </c>
      <c r="D1070" s="12">
        <v>330</v>
      </c>
      <c r="E1070" s="12"/>
      <c r="F1070" s="12"/>
    </row>
    <row r="1071" spans="1:6" ht="12.75">
      <c r="A1071" s="153" t="s">
        <v>149</v>
      </c>
      <c r="B1071" s="167">
        <f t="shared" si="17"/>
        <v>0</v>
      </c>
      <c r="C1071" s="12"/>
      <c r="D1071" s="12"/>
      <c r="E1071" s="12"/>
      <c r="F1071" s="12"/>
    </row>
    <row r="1072" spans="1:6" ht="12.75">
      <c r="A1072" s="153" t="s">
        <v>388</v>
      </c>
      <c r="B1072" s="167">
        <f t="shared" si="17"/>
        <v>14010</v>
      </c>
      <c r="C1072" s="12">
        <v>810</v>
      </c>
      <c r="D1072" s="12">
        <v>5910</v>
      </c>
      <c r="E1072" s="12">
        <v>7290</v>
      </c>
      <c r="F1072" s="12"/>
    </row>
    <row r="1073" spans="1:6" ht="12.75">
      <c r="A1073" s="153" t="s">
        <v>49</v>
      </c>
      <c r="B1073" s="167">
        <f t="shared" si="17"/>
        <v>3380</v>
      </c>
      <c r="C1073" s="12"/>
      <c r="D1073" s="12"/>
      <c r="E1073" s="12"/>
      <c r="F1073" s="12">
        <v>3380</v>
      </c>
    </row>
    <row r="1074" spans="1:6" ht="12.75">
      <c r="A1074" s="153" t="s">
        <v>453</v>
      </c>
      <c r="B1074" s="167">
        <f t="shared" si="17"/>
        <v>909</v>
      </c>
      <c r="C1074" s="12"/>
      <c r="D1074" s="12"/>
      <c r="E1074" s="12"/>
      <c r="F1074" s="12">
        <v>909</v>
      </c>
    </row>
    <row r="1075" spans="1:6" ht="12.75">
      <c r="A1075" s="153" t="s">
        <v>107</v>
      </c>
      <c r="B1075" s="167">
        <f t="shared" si="17"/>
        <v>0</v>
      </c>
      <c r="C1075" s="12"/>
      <c r="D1075" s="12"/>
      <c r="E1075" s="12"/>
      <c r="F1075" s="12"/>
    </row>
    <row r="1076" spans="1:6" ht="12.75">
      <c r="A1076" s="153" t="s">
        <v>490</v>
      </c>
      <c r="B1076" s="167">
        <f t="shared" si="17"/>
        <v>680.6</v>
      </c>
      <c r="C1076" s="12"/>
      <c r="D1076" s="12">
        <v>566.6</v>
      </c>
      <c r="E1076" s="12"/>
      <c r="F1076" s="12">
        <v>114</v>
      </c>
    </row>
    <row r="1077" spans="1:6" ht="12.75">
      <c r="A1077" s="153" t="s">
        <v>129</v>
      </c>
      <c r="B1077" s="167">
        <f t="shared" si="17"/>
        <v>0</v>
      </c>
      <c r="C1077" s="12"/>
      <c r="D1077" s="12"/>
      <c r="E1077" s="12"/>
      <c r="F1077" s="12"/>
    </row>
    <row r="1078" spans="1:6" ht="12.75">
      <c r="A1078" s="153" t="s">
        <v>273</v>
      </c>
      <c r="B1078" s="167">
        <f t="shared" si="17"/>
        <v>315</v>
      </c>
      <c r="C1078" s="12"/>
      <c r="D1078" s="12">
        <v>315</v>
      </c>
      <c r="E1078" s="12"/>
      <c r="F1078" s="12"/>
    </row>
    <row r="1079" spans="1:6" ht="12.75">
      <c r="A1079" s="153" t="s">
        <v>138</v>
      </c>
      <c r="B1079" s="167">
        <f t="shared" si="17"/>
        <v>51089</v>
      </c>
      <c r="C1079" s="12"/>
      <c r="D1079" s="12">
        <v>51089</v>
      </c>
      <c r="E1079" s="12"/>
      <c r="F1079" s="12"/>
    </row>
    <row r="1080" spans="1:6" ht="12.75">
      <c r="A1080" s="155" t="s">
        <v>11</v>
      </c>
      <c r="B1080" s="166">
        <f t="shared" si="17"/>
        <v>572208.975715</v>
      </c>
      <c r="C1080" s="157">
        <f>C1058+C1059+C1060+C1061+C1062+C1063+C1064+C1065+C1066+C1067+C1068+C1069+C1070+C1071+C1072+C1073+C1074+C1075+C1076+C1077+C1078+C1079</f>
        <v>47509.92884</v>
      </c>
      <c r="D1080" s="157">
        <f>SUM(D1058:D1079)</f>
        <v>112680.080575</v>
      </c>
      <c r="E1080" s="157">
        <f>SUM(E1058:E1079)</f>
        <v>68404.172955</v>
      </c>
      <c r="F1080" s="157">
        <f>SUM(F1058:F1079)</f>
        <v>343614.793345</v>
      </c>
    </row>
    <row r="1081" spans="1:6" ht="12.75">
      <c r="A1081" s="155" t="s">
        <v>19</v>
      </c>
      <c r="B1081" s="167">
        <f t="shared" si="17"/>
        <v>0</v>
      </c>
      <c r="C1081" s="12"/>
      <c r="D1081" s="5"/>
      <c r="E1081" s="12"/>
      <c r="F1081" s="12"/>
    </row>
    <row r="1082" spans="1:6" ht="12.75">
      <c r="A1082" s="153" t="s">
        <v>38</v>
      </c>
      <c r="B1082" s="167">
        <f t="shared" si="17"/>
        <v>3039.2665798499997</v>
      </c>
      <c r="C1082" s="12">
        <f>0.218666*C1039</f>
        <v>790.5759896999999</v>
      </c>
      <c r="D1082" s="12">
        <f>0.210458*C1039</f>
        <v>760.9003761</v>
      </c>
      <c r="E1082" s="12">
        <f>0.167241*E1039</f>
        <v>604.65147345</v>
      </c>
      <c r="F1082" s="12">
        <f>0.244268*F1039</f>
        <v>883.1387406</v>
      </c>
    </row>
    <row r="1083" spans="1:6" ht="12.75">
      <c r="A1083" s="153" t="s">
        <v>39</v>
      </c>
      <c r="B1083" s="167">
        <f t="shared" si="17"/>
        <v>6026.66229855</v>
      </c>
      <c r="C1083" s="12">
        <f>0.306583*C1039</f>
        <v>1108.4355073499999</v>
      </c>
      <c r="D1083" s="12">
        <f>0.0733554*C1039</f>
        <v>265.21278093</v>
      </c>
      <c r="E1083" s="12">
        <f>0.536065*E1039</f>
        <v>1938.11620425</v>
      </c>
      <c r="F1083" s="12">
        <f>0.7509156*F1039</f>
        <v>2714.8978060199997</v>
      </c>
    </row>
    <row r="1084" spans="1:6" ht="12.75">
      <c r="A1084" s="153" t="s">
        <v>32</v>
      </c>
      <c r="B1084" s="167">
        <f t="shared" si="17"/>
        <v>0</v>
      </c>
      <c r="C1084" s="12"/>
      <c r="D1084" s="12"/>
      <c r="E1084" s="12"/>
      <c r="F1084" s="12"/>
    </row>
    <row r="1085" spans="1:6" ht="12.75">
      <c r="A1085" s="153" t="s">
        <v>37</v>
      </c>
      <c r="B1085" s="167">
        <f t="shared" si="17"/>
        <v>7786.06970166</v>
      </c>
      <c r="C1085" s="12">
        <f>0.70476*C1039</f>
        <v>2548.024542</v>
      </c>
      <c r="D1085" s="12">
        <f>0.3731258*C1039</f>
        <v>1349.01767361</v>
      </c>
      <c r="E1085" s="12">
        <f>0.553205*E1039</f>
        <v>2000.0850172499997</v>
      </c>
      <c r="F1085" s="12">
        <f>0.522464*F1039</f>
        <v>1888.9424688000001</v>
      </c>
    </row>
    <row r="1086" spans="1:6" ht="12.75">
      <c r="A1086" s="153" t="s">
        <v>20</v>
      </c>
      <c r="B1086" s="167">
        <f t="shared" si="17"/>
        <v>2879.0840676</v>
      </c>
      <c r="C1086" s="12"/>
      <c r="D1086" s="12">
        <f>0.158142*C1039</f>
        <v>571.7544938999999</v>
      </c>
      <c r="E1086" s="12">
        <f>0.60489*E1039</f>
        <v>2186.9495505</v>
      </c>
      <c r="F1086" s="12">
        <f>0.033296*F1039</f>
        <v>120.3800232</v>
      </c>
    </row>
    <row r="1087" spans="1:6" ht="12.75">
      <c r="A1087" s="153" t="s">
        <v>60</v>
      </c>
      <c r="B1087" s="167">
        <f t="shared" si="17"/>
        <v>1170</v>
      </c>
      <c r="C1087" s="12"/>
      <c r="D1087" s="12"/>
      <c r="E1087" s="12"/>
      <c r="F1087" s="12">
        <v>1170</v>
      </c>
    </row>
    <row r="1088" spans="1:6" ht="12.75">
      <c r="A1088" s="156" t="s">
        <v>11</v>
      </c>
      <c r="B1088" s="166">
        <f t="shared" si="17"/>
        <v>20901.08264766</v>
      </c>
      <c r="C1088" s="157">
        <f>C1082+C1083+C1084+C1085+C1086+C1087</f>
        <v>4447.03603905</v>
      </c>
      <c r="D1088" s="157">
        <f>SUM(D1082:D1087)</f>
        <v>2946.8853245399996</v>
      </c>
      <c r="E1088" s="157">
        <f>SUM(E1082:E1087)</f>
        <v>6729.802245450001</v>
      </c>
      <c r="F1088" s="157">
        <f>SUM(F1082:F1087)</f>
        <v>6777.35903862</v>
      </c>
    </row>
    <row r="1089" spans="1:6" ht="12.75">
      <c r="A1089" s="153" t="s">
        <v>101</v>
      </c>
      <c r="B1089" s="167">
        <f t="shared" si="17"/>
        <v>2358.9153512</v>
      </c>
      <c r="C1089" s="157">
        <f>0.0644*C1039</f>
        <v>232.83497999999997</v>
      </c>
      <c r="D1089" s="12">
        <v>200</v>
      </c>
      <c r="E1089" s="12">
        <f>0.10264*E1039</f>
        <v>371.08978799999994</v>
      </c>
      <c r="F1089" s="12">
        <f>0.430096*F1039</f>
        <v>1554.9905832</v>
      </c>
    </row>
    <row r="1090" spans="1:6" ht="33.75">
      <c r="A1090" s="161" t="s">
        <v>21</v>
      </c>
      <c r="B1090" s="166">
        <f t="shared" si="17"/>
        <v>840278.8564969101</v>
      </c>
      <c r="C1090" s="157">
        <f>C1056+C1080+C1088+C1089</f>
        <v>108166.96797404999</v>
      </c>
      <c r="D1090" s="157">
        <f>D1056+D1080+D1088</f>
        <v>177112.08029954</v>
      </c>
      <c r="E1090" s="157">
        <f>E1056+E1080+E1088</f>
        <v>143439.34287045003</v>
      </c>
      <c r="F1090" s="157">
        <f>F1056+F1080+F1088+F1089</f>
        <v>411560.46535287006</v>
      </c>
    </row>
    <row r="1091" spans="1:6" ht="33.75">
      <c r="A1091" s="161" t="s">
        <v>22</v>
      </c>
      <c r="B1091" s="162">
        <f>B1090/12/C1039</f>
        <v>19.367779402677172</v>
      </c>
      <c r="C1091" s="14">
        <f>C1090/C1039/3</f>
        <v>9.972660662255043</v>
      </c>
      <c r="D1091" s="14">
        <f>D1090/3/C1039</f>
        <v>16.329187265719806</v>
      </c>
      <c r="E1091" s="14">
        <f>E1090/3/C1039</f>
        <v>13.2246647831252</v>
      </c>
      <c r="F1091" s="14">
        <f>F1090/3/C1039</f>
        <v>37.944604899608635</v>
      </c>
    </row>
    <row r="1092" spans="1:6" ht="12.75">
      <c r="A1092" s="163" t="s">
        <v>34</v>
      </c>
      <c r="B1092" s="154">
        <f>B1043-B1090</f>
        <v>-452981.15649691015</v>
      </c>
      <c r="C1092" s="165">
        <f>C1043-C1090</f>
        <v>-9323.59797404999</v>
      </c>
      <c r="D1092" s="165">
        <f>D1043-D1090-9324</f>
        <v>-93046.08029953999</v>
      </c>
      <c r="E1092" s="12">
        <f>E1043-E1090-93046</f>
        <v>-140408.30287045002</v>
      </c>
      <c r="F1092" s="12">
        <f>F1043-F1090-140408</f>
        <v>-452981.1753528701</v>
      </c>
    </row>
    <row r="1093" spans="1:6" ht="12.75">
      <c r="A1093" s="29" t="s">
        <v>44</v>
      </c>
      <c r="B1093" s="29"/>
      <c r="C1093" s="29"/>
      <c r="D1093" s="29"/>
      <c r="E1093" s="29"/>
      <c r="F1093" s="29"/>
    </row>
    <row r="1094" spans="1:6" ht="12.75">
      <c r="A1094" s="29" t="s">
        <v>45</v>
      </c>
      <c r="B1094" s="29"/>
      <c r="C1094" s="29"/>
      <c r="D1094" s="29"/>
      <c r="E1094" s="29"/>
      <c r="F1094" s="29"/>
    </row>
    <row r="1095" spans="1:6" ht="12.75">
      <c r="A1095" s="29" t="s">
        <v>579</v>
      </c>
      <c r="B1095" s="29"/>
      <c r="C1095" s="29"/>
      <c r="D1095" s="29"/>
      <c r="E1095" s="29"/>
      <c r="F1095" s="29"/>
    </row>
    <row r="1096" spans="1:6" ht="258" customHeight="1">
      <c r="A1096" s="29"/>
      <c r="B1096" s="29"/>
      <c r="C1096" s="29"/>
      <c r="D1096" s="29"/>
      <c r="E1096" s="29"/>
      <c r="F1096" s="29"/>
    </row>
    <row r="1097" spans="1:6" ht="12.75">
      <c r="A1097" s="120" t="s">
        <v>35</v>
      </c>
      <c r="B1097" s="120"/>
      <c r="C1097" s="29"/>
      <c r="D1097" s="29"/>
      <c r="E1097" s="29"/>
      <c r="F1097" s="29"/>
    </row>
    <row r="1098" spans="1:6" ht="12.75">
      <c r="A1098" s="29" t="s">
        <v>616</v>
      </c>
      <c r="B1098" s="29"/>
      <c r="C1098" s="29"/>
      <c r="D1098" s="29"/>
      <c r="E1098" s="29"/>
      <c r="F1098" s="29"/>
    </row>
    <row r="1099" spans="1:6" ht="12.75">
      <c r="A1099" s="29" t="s">
        <v>224</v>
      </c>
      <c r="B1099" s="29"/>
      <c r="C1099" s="29"/>
      <c r="D1099" s="29"/>
      <c r="E1099" s="29"/>
      <c r="F1099" s="29"/>
    </row>
    <row r="1100" spans="1:6" ht="12.75">
      <c r="A1100" s="29" t="s">
        <v>601</v>
      </c>
      <c r="B1100" s="29"/>
      <c r="C1100" s="29"/>
      <c r="D1100" s="29"/>
      <c r="E1100" s="29" t="s">
        <v>340</v>
      </c>
      <c r="F1100" s="29"/>
    </row>
    <row r="1101" spans="1:6" ht="12.75">
      <c r="A1101" s="10" t="s">
        <v>1</v>
      </c>
      <c r="B1101" s="10" t="s">
        <v>11</v>
      </c>
      <c r="C1101" s="10" t="s">
        <v>86</v>
      </c>
      <c r="D1101" s="10" t="s">
        <v>87</v>
      </c>
      <c r="E1101" s="10" t="s">
        <v>120</v>
      </c>
      <c r="F1101" s="10" t="s">
        <v>141</v>
      </c>
    </row>
    <row r="1102" spans="1:6" ht="12.75">
      <c r="A1102" s="22" t="s">
        <v>6</v>
      </c>
      <c r="B1102" s="22"/>
      <c r="C1102" s="10"/>
      <c r="D1102" s="5"/>
      <c r="E1102" s="5"/>
      <c r="F1102" s="5"/>
    </row>
    <row r="1103" spans="1:6" ht="12.75">
      <c r="A1103" s="5" t="s">
        <v>2</v>
      </c>
      <c r="B1103" s="5"/>
      <c r="C1103" s="10">
        <v>5</v>
      </c>
      <c r="D1103" s="5"/>
      <c r="E1103" s="5"/>
      <c r="F1103" s="5"/>
    </row>
    <row r="1104" spans="1:6" ht="12.75">
      <c r="A1104" s="5" t="s">
        <v>3</v>
      </c>
      <c r="B1104" s="5"/>
      <c r="C1104" s="10">
        <v>6</v>
      </c>
      <c r="D1104" s="5"/>
      <c r="E1104" s="5"/>
      <c r="F1104" s="5"/>
    </row>
    <row r="1105" spans="1:6" ht="12.75">
      <c r="A1105" s="5" t="s">
        <v>4</v>
      </c>
      <c r="B1105" s="5"/>
      <c r="C1105" s="10">
        <v>60</v>
      </c>
      <c r="D1105" s="5"/>
      <c r="E1105" s="5"/>
      <c r="F1105" s="5"/>
    </row>
    <row r="1106" spans="1:6" ht="12.75">
      <c r="A1106" s="5" t="s">
        <v>5</v>
      </c>
      <c r="B1106" s="10">
        <v>2678.39</v>
      </c>
      <c r="C1106" s="10">
        <v>2678.39</v>
      </c>
      <c r="D1106" s="10">
        <v>2678.39</v>
      </c>
      <c r="E1106" s="10">
        <v>2678.39</v>
      </c>
      <c r="F1106" s="10">
        <v>2678.39</v>
      </c>
    </row>
    <row r="1107" spans="1:6" ht="24">
      <c r="A1107" s="150" t="s">
        <v>7</v>
      </c>
      <c r="B1107" s="150"/>
      <c r="C1107" s="5" t="s">
        <v>36</v>
      </c>
      <c r="D1107" s="5"/>
      <c r="E1107" s="5"/>
      <c r="F1107" s="5"/>
    </row>
    <row r="1108" spans="1:6" ht="24">
      <c r="A1108" s="151" t="s">
        <v>8</v>
      </c>
      <c r="B1108" s="6">
        <f>C1108+D1108+E1108+F1108</f>
        <v>313802.25</v>
      </c>
      <c r="C1108" s="10">
        <v>73189.24</v>
      </c>
      <c r="D1108" s="10">
        <v>79745.75</v>
      </c>
      <c r="E1108" s="10">
        <v>82373.25</v>
      </c>
      <c r="F1108" s="10">
        <v>78494.01</v>
      </c>
    </row>
    <row r="1109" spans="1:6" ht="22.5">
      <c r="A1109" s="153" t="s">
        <v>9</v>
      </c>
      <c r="B1109" s="6">
        <f>C1109+D1109+E1109+F1109</f>
        <v>0</v>
      </c>
      <c r="C1109" s="10">
        <v>0</v>
      </c>
      <c r="D1109" s="10">
        <v>0</v>
      </c>
      <c r="E1109" s="10">
        <v>0</v>
      </c>
      <c r="F1109" s="10">
        <v>0</v>
      </c>
    </row>
    <row r="1110" spans="1:6" ht="12.75">
      <c r="A1110" s="5" t="s">
        <v>11</v>
      </c>
      <c r="B1110" s="6">
        <f>C1110+D1110+E1110+F1110</f>
        <v>313802.25</v>
      </c>
      <c r="C1110" s="22">
        <f>C1108+C1109</f>
        <v>73189.24</v>
      </c>
      <c r="D1110" s="22">
        <f>D1108+D1109</f>
        <v>79745.75</v>
      </c>
      <c r="E1110" s="22">
        <f>SUM(E1108:E1109)</f>
        <v>82373.25</v>
      </c>
      <c r="F1110" s="10">
        <f>F1108</f>
        <v>78494.01</v>
      </c>
    </row>
    <row r="1111" spans="1:6" ht="24">
      <c r="A1111" s="150" t="s">
        <v>12</v>
      </c>
      <c r="B1111" s="150"/>
      <c r="C1111" s="5"/>
      <c r="D1111" s="5"/>
      <c r="E1111" s="5"/>
      <c r="F1111" s="5"/>
    </row>
    <row r="1112" spans="1:7" ht="12.75">
      <c r="A1112" s="156" t="s">
        <v>13</v>
      </c>
      <c r="B1112" s="167">
        <f>C1112+D1112+E1112+F1112</f>
        <v>84575.43799990999</v>
      </c>
      <c r="C1112" s="157">
        <f>7.5947*C1106</f>
        <v>20341.568532999998</v>
      </c>
      <c r="D1112" s="157">
        <f>7.632*C1106</f>
        <v>20441.472479999997</v>
      </c>
      <c r="E1112" s="12">
        <f>8.5526*E1106</f>
        <v>22907.198313999997</v>
      </c>
      <c r="F1112" s="157">
        <f>7.797669*F1106</f>
        <v>20885.19867291</v>
      </c>
      <c r="G1112" s="8"/>
    </row>
    <row r="1113" spans="1:6" ht="21">
      <c r="A1113" s="156" t="s">
        <v>14</v>
      </c>
      <c r="B1113" s="167">
        <f aca="true" t="shared" si="18" ref="B1113:B1154">C1113+D1113+E1113+F1113</f>
        <v>0</v>
      </c>
      <c r="C1113" s="12"/>
      <c r="D1113" s="12"/>
      <c r="E1113" s="12"/>
      <c r="F1113" s="12"/>
    </row>
    <row r="1114" spans="1:6" ht="12.75">
      <c r="A1114" s="153" t="s">
        <v>15</v>
      </c>
      <c r="B1114" s="167">
        <f t="shared" si="18"/>
        <v>109414.84</v>
      </c>
      <c r="C1114" s="12">
        <f>C1115+C1117</f>
        <v>23128.62</v>
      </c>
      <c r="D1114" s="12">
        <f>D1115+D1117+D1118+D1119+D1120+D1121</f>
        <v>28008</v>
      </c>
      <c r="E1114" s="12">
        <f>E1115+E1117+E1118+E1119+E1120+E1121</f>
        <v>31996.17</v>
      </c>
      <c r="F1114" s="12">
        <f>F1115+F1117+F1118+F1119+F1120+F1121</f>
        <v>26282.05</v>
      </c>
    </row>
    <row r="1115" spans="1:6" ht="12.75">
      <c r="A1115" s="158" t="s">
        <v>16</v>
      </c>
      <c r="B1115" s="167">
        <f t="shared" si="18"/>
        <v>94588</v>
      </c>
      <c r="C1115" s="165">
        <v>22958</v>
      </c>
      <c r="D1115" s="12">
        <v>21661</v>
      </c>
      <c r="E1115" s="12">
        <v>26233</v>
      </c>
      <c r="F1115" s="12">
        <v>23736</v>
      </c>
    </row>
    <row r="1116" spans="1:6" ht="12.75">
      <c r="A1116" s="153" t="s">
        <v>33</v>
      </c>
      <c r="B1116" s="167">
        <f t="shared" si="18"/>
        <v>63237.25</v>
      </c>
      <c r="C1116" s="165">
        <v>14163.25</v>
      </c>
      <c r="D1116" s="12">
        <v>15104</v>
      </c>
      <c r="E1116" s="12">
        <v>16985</v>
      </c>
      <c r="F1116" s="12">
        <v>16985</v>
      </c>
    </row>
    <row r="1117" spans="1:6" ht="12.75">
      <c r="A1117" s="153" t="s">
        <v>24</v>
      </c>
      <c r="B1117" s="167">
        <f t="shared" si="18"/>
        <v>1606.34</v>
      </c>
      <c r="C1117" s="12">
        <v>170.62</v>
      </c>
      <c r="D1117" s="12">
        <v>412</v>
      </c>
      <c r="E1117" s="12">
        <v>496.67</v>
      </c>
      <c r="F1117" s="12">
        <v>527.05</v>
      </c>
    </row>
    <row r="1118" spans="1:6" ht="12.75">
      <c r="A1118" s="153" t="s">
        <v>17</v>
      </c>
      <c r="B1118" s="167">
        <f t="shared" si="18"/>
        <v>0</v>
      </c>
      <c r="C1118" s="12"/>
      <c r="D1118" s="12"/>
      <c r="E1118" s="12"/>
      <c r="F1118" s="12"/>
    </row>
    <row r="1119" spans="1:6" ht="12.75">
      <c r="A1119" s="153" t="s">
        <v>274</v>
      </c>
      <c r="B1119" s="167">
        <f t="shared" si="18"/>
        <v>1230</v>
      </c>
      <c r="C1119" s="12"/>
      <c r="D1119" s="12">
        <v>855</v>
      </c>
      <c r="E1119" s="12">
        <v>375</v>
      </c>
      <c r="F1119" s="12"/>
    </row>
    <row r="1120" spans="1:6" ht="12.75">
      <c r="A1120" s="153" t="s">
        <v>88</v>
      </c>
      <c r="B1120" s="167">
        <f t="shared" si="18"/>
        <v>1378.5</v>
      </c>
      <c r="C1120" s="12"/>
      <c r="D1120" s="12">
        <v>1116</v>
      </c>
      <c r="E1120" s="12">
        <v>262.5</v>
      </c>
      <c r="F1120" s="12"/>
    </row>
    <row r="1121" spans="1:6" ht="12.75">
      <c r="A1121" s="153" t="s">
        <v>491</v>
      </c>
      <c r="B1121" s="167">
        <f t="shared" si="18"/>
        <v>10612</v>
      </c>
      <c r="C1121" s="12"/>
      <c r="D1121" s="12">
        <v>3964</v>
      </c>
      <c r="E1121" s="12">
        <v>4629</v>
      </c>
      <c r="F1121" s="12">
        <v>2019</v>
      </c>
    </row>
    <row r="1122" spans="1:6" ht="12.75">
      <c r="A1122" s="155" t="s">
        <v>11</v>
      </c>
      <c r="B1122" s="167">
        <f t="shared" si="18"/>
        <v>193990.27799990997</v>
      </c>
      <c r="C1122" s="157">
        <f>C1112+C1114</f>
        <v>43470.18853299999</v>
      </c>
      <c r="D1122" s="157">
        <f>D1112+D1114</f>
        <v>48449.47248</v>
      </c>
      <c r="E1122" s="157">
        <f>E1112+E1114</f>
        <v>54903.36831399999</v>
      </c>
      <c r="F1122" s="157">
        <f>F1112+F1114</f>
        <v>47167.24867291</v>
      </c>
    </row>
    <row r="1123" spans="1:6" ht="21">
      <c r="A1123" s="159" t="s">
        <v>18</v>
      </c>
      <c r="B1123" s="167">
        <f t="shared" si="18"/>
        <v>0</v>
      </c>
      <c r="C1123" s="12"/>
      <c r="D1123" s="12"/>
      <c r="E1123" s="12"/>
      <c r="F1123" s="12"/>
    </row>
    <row r="1124" spans="1:6" ht="12.75">
      <c r="A1124" s="153" t="s">
        <v>23</v>
      </c>
      <c r="B1124" s="167">
        <f t="shared" si="18"/>
        <v>65681.354453</v>
      </c>
      <c r="C1124" s="165">
        <f>5.3352*C1106</f>
        <v>14289.746328000001</v>
      </c>
      <c r="D1124" s="12">
        <f>6.1735*C1106</f>
        <v>16535.040664999997</v>
      </c>
      <c r="E1124" s="12">
        <f>6.4099*E1106</f>
        <v>17168.212061000002</v>
      </c>
      <c r="F1124" s="12">
        <f>6.6041*F1106</f>
        <v>17688.355399</v>
      </c>
    </row>
    <row r="1125" spans="1:6" ht="12.75">
      <c r="A1125" s="153" t="s">
        <v>492</v>
      </c>
      <c r="B1125" s="167">
        <f t="shared" si="18"/>
        <v>23665</v>
      </c>
      <c r="C1125" s="12">
        <v>2839</v>
      </c>
      <c r="D1125" s="12">
        <v>2400</v>
      </c>
      <c r="E1125" s="12">
        <v>4656</v>
      </c>
      <c r="F1125" s="12">
        <v>13770</v>
      </c>
    </row>
    <row r="1126" spans="1:6" ht="12.75">
      <c r="A1126" s="153" t="s">
        <v>25</v>
      </c>
      <c r="B1126" s="167">
        <f t="shared" si="18"/>
        <v>0</v>
      </c>
      <c r="C1126" s="12"/>
      <c r="D1126" s="12"/>
      <c r="E1126" s="12"/>
      <c r="F1126" s="12"/>
    </row>
    <row r="1127" spans="1:6" ht="12.75">
      <c r="A1127" s="153" t="s">
        <v>30</v>
      </c>
      <c r="B1127" s="167">
        <f t="shared" si="18"/>
        <v>56913.5</v>
      </c>
      <c r="C1127" s="12">
        <v>8370</v>
      </c>
      <c r="D1127" s="12">
        <v>19829</v>
      </c>
      <c r="E1127" s="12">
        <v>13845.5</v>
      </c>
      <c r="F1127" s="12">
        <v>14869</v>
      </c>
    </row>
    <row r="1128" spans="1:6" ht="12.75">
      <c r="A1128" s="153" t="s">
        <v>28</v>
      </c>
      <c r="B1128" s="167">
        <f t="shared" si="18"/>
        <v>8152</v>
      </c>
      <c r="C1128" s="12"/>
      <c r="D1128" s="12"/>
      <c r="E1128" s="12">
        <v>6887</v>
      </c>
      <c r="F1128" s="12">
        <v>1265</v>
      </c>
    </row>
    <row r="1129" spans="1:6" ht="12.75">
      <c r="A1129" s="153" t="s">
        <v>41</v>
      </c>
      <c r="B1129" s="167">
        <f t="shared" si="18"/>
        <v>9316</v>
      </c>
      <c r="C1129" s="12"/>
      <c r="D1129" s="12">
        <v>1114</v>
      </c>
      <c r="E1129" s="12">
        <v>2152</v>
      </c>
      <c r="F1129" s="12">
        <v>6050</v>
      </c>
    </row>
    <row r="1130" spans="1:6" ht="12.75">
      <c r="A1130" s="153" t="s">
        <v>50</v>
      </c>
      <c r="B1130" s="167">
        <f t="shared" si="18"/>
        <v>4829</v>
      </c>
      <c r="C1130" s="12"/>
      <c r="D1130" s="12">
        <v>470</v>
      </c>
      <c r="E1130" s="12">
        <v>1754</v>
      </c>
      <c r="F1130" s="12">
        <v>2605</v>
      </c>
    </row>
    <row r="1131" spans="1:6" ht="12.75">
      <c r="A1131" s="153" t="s">
        <v>52</v>
      </c>
      <c r="B1131" s="167">
        <f t="shared" si="18"/>
        <v>60568</v>
      </c>
      <c r="C1131" s="12">
        <v>2020</v>
      </c>
      <c r="D1131" s="12">
        <v>7007</v>
      </c>
      <c r="E1131" s="12">
        <v>3434</v>
      </c>
      <c r="F1131" s="12">
        <v>48107</v>
      </c>
    </row>
    <row r="1132" spans="1:6" ht="22.5">
      <c r="A1132" s="153" t="s">
        <v>225</v>
      </c>
      <c r="B1132" s="167">
        <f t="shared" si="18"/>
        <v>383.88</v>
      </c>
      <c r="C1132" s="12">
        <v>383.88</v>
      </c>
      <c r="D1132" s="12"/>
      <c r="E1132" s="12"/>
      <c r="F1132" s="12"/>
    </row>
    <row r="1133" spans="1:6" ht="12.75">
      <c r="A1133" s="153" t="s">
        <v>27</v>
      </c>
      <c r="B1133" s="167">
        <f t="shared" si="18"/>
        <v>340</v>
      </c>
      <c r="C1133" s="12"/>
      <c r="D1133" s="12"/>
      <c r="E1133" s="12"/>
      <c r="F1133" s="12">
        <v>340</v>
      </c>
    </row>
    <row r="1134" spans="1:6" ht="12.75">
      <c r="A1134" s="153" t="s">
        <v>251</v>
      </c>
      <c r="B1134" s="167">
        <f t="shared" si="18"/>
        <v>3765</v>
      </c>
      <c r="C1134" s="12"/>
      <c r="D1134" s="12">
        <v>3765</v>
      </c>
      <c r="E1134" s="12"/>
      <c r="F1134" s="12"/>
    </row>
    <row r="1135" spans="1:6" ht="12.75">
      <c r="A1135" s="153" t="s">
        <v>46</v>
      </c>
      <c r="B1135" s="167">
        <f t="shared" si="18"/>
        <v>0</v>
      </c>
      <c r="C1135" s="12"/>
      <c r="D1135" s="12"/>
      <c r="E1135" s="12"/>
      <c r="F1135" s="12"/>
    </row>
    <row r="1136" spans="1:6" ht="12.75">
      <c r="A1136" s="153" t="s">
        <v>47</v>
      </c>
      <c r="B1136" s="167">
        <f t="shared" si="18"/>
        <v>0</v>
      </c>
      <c r="C1136" s="12"/>
      <c r="D1136" s="12"/>
      <c r="E1136" s="12"/>
      <c r="F1136" s="12"/>
    </row>
    <row r="1137" spans="1:6" ht="12.75">
      <c r="A1137" s="153" t="s">
        <v>453</v>
      </c>
      <c r="B1137" s="167">
        <f t="shared" si="18"/>
        <v>673</v>
      </c>
      <c r="C1137" s="12"/>
      <c r="D1137" s="12"/>
      <c r="E1137" s="12"/>
      <c r="F1137" s="12">
        <v>673</v>
      </c>
    </row>
    <row r="1138" spans="1:6" ht="12.75">
      <c r="A1138" s="153" t="s">
        <v>96</v>
      </c>
      <c r="B1138" s="167">
        <f t="shared" si="18"/>
        <v>0</v>
      </c>
      <c r="C1138" s="12"/>
      <c r="D1138" s="12"/>
      <c r="E1138" s="12"/>
      <c r="F1138" s="12"/>
    </row>
    <row r="1139" spans="1:6" ht="12.75">
      <c r="A1139" s="153" t="s">
        <v>49</v>
      </c>
      <c r="B1139" s="167">
        <f t="shared" si="18"/>
        <v>0</v>
      </c>
      <c r="C1139" s="12"/>
      <c r="D1139" s="12"/>
      <c r="E1139" s="12"/>
      <c r="F1139" s="12"/>
    </row>
    <row r="1140" spans="1:6" ht="22.5">
      <c r="A1140" s="153" t="s">
        <v>484</v>
      </c>
      <c r="B1140" s="167">
        <f t="shared" si="18"/>
        <v>6</v>
      </c>
      <c r="C1140" s="12">
        <v>6</v>
      </c>
      <c r="D1140" s="12"/>
      <c r="E1140" s="12"/>
      <c r="F1140" s="30">
        <v>0</v>
      </c>
    </row>
    <row r="1141" spans="1:6" ht="22.5">
      <c r="A1141" s="153" t="s">
        <v>457</v>
      </c>
      <c r="B1141" s="167">
        <f t="shared" si="18"/>
        <v>11000</v>
      </c>
      <c r="C1141" s="12"/>
      <c r="D1141" s="12"/>
      <c r="E1141" s="12"/>
      <c r="F1141" s="12">
        <v>11000</v>
      </c>
    </row>
    <row r="1142" spans="1:6" ht="12.75">
      <c r="A1142" s="153" t="s">
        <v>55</v>
      </c>
      <c r="B1142" s="167">
        <f t="shared" si="18"/>
        <v>0</v>
      </c>
      <c r="C1142" s="12"/>
      <c r="D1142" s="12"/>
      <c r="E1142" s="12"/>
      <c r="F1142" s="12"/>
    </row>
    <row r="1143" spans="1:6" ht="12.75">
      <c r="A1143" s="153" t="s">
        <v>57</v>
      </c>
      <c r="B1143" s="167">
        <f t="shared" si="18"/>
        <v>0</v>
      </c>
      <c r="C1143" s="12"/>
      <c r="D1143" s="12"/>
      <c r="E1143" s="12"/>
      <c r="F1143" s="12"/>
    </row>
    <row r="1144" spans="1:6" ht="12.75">
      <c r="A1144" s="153" t="s">
        <v>58</v>
      </c>
      <c r="B1144" s="167">
        <f t="shared" si="18"/>
        <v>0</v>
      </c>
      <c r="C1144" s="12"/>
      <c r="D1144" s="12"/>
      <c r="E1144" s="12"/>
      <c r="F1144" s="12"/>
    </row>
    <row r="1145" spans="1:6" ht="12.75">
      <c r="A1145" s="155" t="s">
        <v>11</v>
      </c>
      <c r="B1145" s="167">
        <f t="shared" si="18"/>
        <v>245292.73445299998</v>
      </c>
      <c r="C1145" s="157">
        <f>SUM(C1124:C1144)</f>
        <v>27908.626328000002</v>
      </c>
      <c r="D1145" s="157">
        <f>SUM(D1124:D1144)</f>
        <v>51120.04066499999</v>
      </c>
      <c r="E1145" s="12">
        <f>SUM(E1124:E1144)</f>
        <v>49896.712061</v>
      </c>
      <c r="F1145" s="12">
        <f>SUM(F1124:F1144)</f>
        <v>116367.355399</v>
      </c>
    </row>
    <row r="1146" spans="1:6" ht="12.75">
      <c r="A1146" s="155" t="s">
        <v>19</v>
      </c>
      <c r="B1146" s="167">
        <f t="shared" si="18"/>
        <v>0</v>
      </c>
      <c r="C1146" s="12"/>
      <c r="D1146" s="12"/>
      <c r="E1146" s="12"/>
      <c r="F1146" s="12"/>
    </row>
    <row r="1147" spans="1:6" ht="12.75">
      <c r="A1147" s="153" t="s">
        <v>38</v>
      </c>
      <c r="B1147" s="167">
        <f t="shared" si="18"/>
        <v>2251.54302087</v>
      </c>
      <c r="C1147" s="12">
        <f>0.218666*C1106</f>
        <v>585.67282774</v>
      </c>
      <c r="D1147" s="12">
        <f>0.210458*C1106</f>
        <v>563.68860262</v>
      </c>
      <c r="E1147" s="12">
        <f>0.167241*E1106</f>
        <v>447.93662199</v>
      </c>
      <c r="F1147" s="12">
        <f>0.244268*F1106</f>
        <v>654.24496852</v>
      </c>
    </row>
    <row r="1148" spans="1:6" ht="12.75">
      <c r="A1148" s="153" t="s">
        <v>39</v>
      </c>
      <c r="B1148" s="167">
        <f t="shared" si="18"/>
        <v>4464.65918041</v>
      </c>
      <c r="C1148" s="12">
        <f>0.306583*C1106</f>
        <v>821.1488413699999</v>
      </c>
      <c r="D1148" s="12">
        <f>0.0733554*C1106</f>
        <v>196.474369806</v>
      </c>
      <c r="E1148" s="12">
        <f>0.536065*E1106</f>
        <v>1435.7911353499999</v>
      </c>
      <c r="F1148" s="12">
        <f>0.7509156*F1106</f>
        <v>2011.244833884</v>
      </c>
    </row>
    <row r="1149" spans="1:6" ht="12.75">
      <c r="A1149" s="153" t="s">
        <v>32</v>
      </c>
      <c r="B1149" s="167">
        <f t="shared" si="18"/>
        <v>0</v>
      </c>
      <c r="C1149" s="12"/>
      <c r="D1149" s="12"/>
      <c r="E1149" s="12"/>
      <c r="F1149" s="12"/>
    </row>
    <row r="1150" spans="1:6" ht="12.75">
      <c r="A1150" s="153" t="s">
        <v>37</v>
      </c>
      <c r="B1150" s="167">
        <f t="shared" si="18"/>
        <v>5768.0596407719995</v>
      </c>
      <c r="C1150" s="12">
        <f>0.70476*C1106</f>
        <v>1887.6221364</v>
      </c>
      <c r="D1150" s="12">
        <f>0.3731258*C1106</f>
        <v>999.376411462</v>
      </c>
      <c r="E1150" s="12">
        <f>0.553205*E1106</f>
        <v>1481.69873995</v>
      </c>
      <c r="F1150" s="12">
        <f>0.522464*F1106</f>
        <v>1399.36235296</v>
      </c>
    </row>
    <row r="1151" spans="1:6" ht="12.75">
      <c r="A1151" s="153" t="s">
        <v>20</v>
      </c>
      <c r="B1151" s="167">
        <f t="shared" si="18"/>
        <v>2132.87695192</v>
      </c>
      <c r="C1151" s="12"/>
      <c r="D1151" s="12">
        <f>0.158142*C1106</f>
        <v>423.56595138</v>
      </c>
      <c r="E1151" s="12">
        <f>0.60489*E1106</f>
        <v>1620.1313271000001</v>
      </c>
      <c r="F1151" s="12">
        <f>0.033296*F1106</f>
        <v>89.17967343999999</v>
      </c>
    </row>
    <row r="1152" spans="1:6" ht="12.75">
      <c r="A1152" s="156" t="s">
        <v>11</v>
      </c>
      <c r="B1152" s="167">
        <f t="shared" si="18"/>
        <v>14617.138793972</v>
      </c>
      <c r="C1152" s="157">
        <f>SUM(C1147:C1151)</f>
        <v>3294.44380551</v>
      </c>
      <c r="D1152" s="157">
        <f>SUM(D1147:D1151)</f>
        <v>2183.105335268</v>
      </c>
      <c r="E1152" s="157">
        <f>SUM(E1147:E1151)</f>
        <v>4985.55782439</v>
      </c>
      <c r="F1152" s="157">
        <f>SUM(F1147:F1151)</f>
        <v>4154.031828804</v>
      </c>
    </row>
    <row r="1153" spans="1:6" ht="12.75">
      <c r="A1153" s="153" t="s">
        <v>101</v>
      </c>
      <c r="B1153" s="167">
        <f t="shared" si="18"/>
        <v>1747.3630910399997</v>
      </c>
      <c r="C1153" s="157">
        <f>0.0644*C1106</f>
        <v>172.488316</v>
      </c>
      <c r="D1153" s="157">
        <v>148</v>
      </c>
      <c r="E1153" s="12">
        <f>0.10264*E1106</f>
        <v>274.90994959999995</v>
      </c>
      <c r="F1153" s="12">
        <f>0.430096*F1106</f>
        <v>1151.96482544</v>
      </c>
    </row>
    <row r="1154" spans="1:6" ht="33.75">
      <c r="A1154" s="161" t="s">
        <v>21</v>
      </c>
      <c r="B1154" s="167">
        <f t="shared" si="18"/>
        <v>455372.604388322</v>
      </c>
      <c r="C1154" s="157">
        <f>C1122+C1145+C1152+C1153</f>
        <v>74845.74698251</v>
      </c>
      <c r="D1154" s="12">
        <f>D1122+D1145+D1152+D1153</f>
        <v>101900.61848026799</v>
      </c>
      <c r="E1154" s="12">
        <f>E1122+E1145+E1152</f>
        <v>109785.63819938998</v>
      </c>
      <c r="F1154" s="12">
        <f>F1122+F1145+F1152+F1153</f>
        <v>168840.600726154</v>
      </c>
    </row>
    <row r="1155" spans="1:6" ht="33.75">
      <c r="A1155" s="161" t="s">
        <v>22</v>
      </c>
      <c r="B1155" s="162">
        <f>B1154/12/C1106</f>
        <v>14.168107345218646</v>
      </c>
      <c r="C1155" s="14">
        <f>C1154/C1106/3</f>
        <v>9.314768322575627</v>
      </c>
      <c r="D1155" s="14">
        <f>D1154/3/C1106</f>
        <v>12.68182483759124</v>
      </c>
      <c r="E1155" s="14">
        <f>E1154/3/C1106</f>
        <v>13.663138203596189</v>
      </c>
      <c r="F1155" s="14">
        <f>F1154/3/C1106</f>
        <v>21.012698017111525</v>
      </c>
    </row>
    <row r="1156" spans="1:6" ht="12.75">
      <c r="A1156" s="163" t="s">
        <v>34</v>
      </c>
      <c r="B1156" s="164">
        <f>B1110-B1154</f>
        <v>-141570.35438832198</v>
      </c>
      <c r="C1156" s="165">
        <f>C1110-C1154</f>
        <v>-1656.5069825099927</v>
      </c>
      <c r="D1156" s="165">
        <f>D1110-D1154-1656</f>
        <v>-23810.868480267993</v>
      </c>
      <c r="E1156" s="165">
        <f>E1110-E1154-23811</f>
        <v>-51223.388199389985</v>
      </c>
      <c r="F1156" s="165">
        <f>F1110-F1154-51223</f>
        <v>-141569.59072615398</v>
      </c>
    </row>
    <row r="1157" spans="1:6" ht="12.75">
      <c r="A1157" s="29" t="s">
        <v>44</v>
      </c>
      <c r="B1157" s="29"/>
      <c r="C1157" s="29"/>
      <c r="D1157" s="29"/>
      <c r="E1157" s="29"/>
      <c r="F1157" s="29"/>
    </row>
    <row r="1158" spans="1:6" ht="12.75">
      <c r="A1158" s="29" t="s">
        <v>45</v>
      </c>
      <c r="B1158" s="29"/>
      <c r="C1158" s="29"/>
      <c r="D1158" s="29"/>
      <c r="E1158" s="29"/>
      <c r="F1158" s="29"/>
    </row>
    <row r="1159" spans="1:6" ht="12.75">
      <c r="A1159" s="29" t="s">
        <v>579</v>
      </c>
      <c r="B1159" s="29"/>
      <c r="C1159" s="29"/>
      <c r="D1159" s="29"/>
      <c r="E1159" s="29"/>
      <c r="F1159" s="29"/>
    </row>
    <row r="1160" spans="1:6" ht="299.25" customHeight="1">
      <c r="A1160" s="29"/>
      <c r="B1160" s="29"/>
      <c r="C1160" s="29"/>
      <c r="D1160" s="29"/>
      <c r="E1160" s="29"/>
      <c r="F1160" s="29"/>
    </row>
    <row r="1161" spans="1:6" ht="12.75">
      <c r="A1161" s="120" t="s">
        <v>35</v>
      </c>
      <c r="B1161" s="120"/>
      <c r="C1161" s="29"/>
      <c r="D1161" s="29"/>
      <c r="E1161" s="29"/>
      <c r="F1161" s="29"/>
    </row>
    <row r="1162" spans="1:6" ht="12.75">
      <c r="A1162" s="29" t="s">
        <v>616</v>
      </c>
      <c r="B1162" s="29"/>
      <c r="C1162" s="29"/>
      <c r="D1162" s="29"/>
      <c r="E1162" s="29"/>
      <c r="F1162" s="29"/>
    </row>
    <row r="1163" spans="1:6" ht="12.75">
      <c r="A1163" s="29" t="s">
        <v>224</v>
      </c>
      <c r="B1163" s="29"/>
      <c r="C1163" s="29"/>
      <c r="D1163" s="29"/>
      <c r="E1163" s="29"/>
      <c r="F1163" s="29"/>
    </row>
    <row r="1164" spans="1:6" ht="12.75">
      <c r="A1164" s="29" t="s">
        <v>602</v>
      </c>
      <c r="B1164" s="29"/>
      <c r="C1164" s="29"/>
      <c r="D1164" s="29"/>
      <c r="E1164" s="29" t="s">
        <v>340</v>
      </c>
      <c r="F1164" s="29"/>
    </row>
    <row r="1165" spans="1:6" ht="12.75">
      <c r="A1165" s="10" t="s">
        <v>1</v>
      </c>
      <c r="B1165" s="10" t="s">
        <v>11</v>
      </c>
      <c r="C1165" s="10" t="s">
        <v>86</v>
      </c>
      <c r="D1165" s="10" t="s">
        <v>87</v>
      </c>
      <c r="E1165" s="10" t="s">
        <v>120</v>
      </c>
      <c r="F1165" s="10" t="s">
        <v>141</v>
      </c>
    </row>
    <row r="1166" spans="1:6" ht="12.75">
      <c r="A1166" s="22" t="s">
        <v>6</v>
      </c>
      <c r="B1166" s="22"/>
      <c r="C1166" s="10"/>
      <c r="D1166" s="5"/>
      <c r="E1166" s="5"/>
      <c r="F1166" s="5"/>
    </row>
    <row r="1167" spans="1:6" ht="12.75">
      <c r="A1167" s="5" t="s">
        <v>2</v>
      </c>
      <c r="B1167" s="5"/>
      <c r="C1167" s="10">
        <v>5</v>
      </c>
      <c r="D1167" s="5"/>
      <c r="E1167" s="5"/>
      <c r="F1167" s="5"/>
    </row>
    <row r="1168" spans="1:6" ht="12.75">
      <c r="A1168" s="5" t="s">
        <v>3</v>
      </c>
      <c r="B1168" s="5"/>
      <c r="C1168" s="10">
        <v>6</v>
      </c>
      <c r="D1168" s="5"/>
      <c r="E1168" s="5"/>
      <c r="F1168" s="5"/>
    </row>
    <row r="1169" spans="1:6" ht="12.75">
      <c r="A1169" s="5" t="s">
        <v>4</v>
      </c>
      <c r="B1169" s="5"/>
      <c r="C1169" s="10">
        <v>61</v>
      </c>
      <c r="D1169" s="5"/>
      <c r="E1169" s="5"/>
      <c r="F1169" s="5"/>
    </row>
    <row r="1170" spans="1:6" ht="12.75">
      <c r="A1170" s="5" t="s">
        <v>5</v>
      </c>
      <c r="B1170" s="10">
        <v>3614.83</v>
      </c>
      <c r="C1170" s="10">
        <v>3614.83</v>
      </c>
      <c r="D1170" s="10">
        <v>3614.83</v>
      </c>
      <c r="E1170" s="10">
        <v>3614.83</v>
      </c>
      <c r="F1170" s="10">
        <v>3614.83</v>
      </c>
    </row>
    <row r="1171" spans="1:6" ht="22.5">
      <c r="A1171" s="150" t="s">
        <v>7</v>
      </c>
      <c r="B1171" s="150"/>
      <c r="C1171" s="5" t="s">
        <v>36</v>
      </c>
      <c r="D1171" s="5"/>
      <c r="E1171" s="5"/>
      <c r="F1171" s="5"/>
    </row>
    <row r="1172" spans="1:6" ht="22.5">
      <c r="A1172" s="151" t="s">
        <v>8</v>
      </c>
      <c r="B1172" s="6">
        <f>C1172+D1172+E1172+F1172</f>
        <v>308556.24</v>
      </c>
      <c r="C1172" s="10">
        <v>8556.68</v>
      </c>
      <c r="D1172" s="5">
        <v>112121.34</v>
      </c>
      <c r="E1172" s="10">
        <v>78684.06</v>
      </c>
      <c r="F1172" s="5">
        <v>109194.16</v>
      </c>
    </row>
    <row r="1173" spans="1:6" ht="22.5">
      <c r="A1173" s="153" t="s">
        <v>9</v>
      </c>
      <c r="B1173" s="6">
        <f>C1173+D1173+E1173+F1173</f>
        <v>0</v>
      </c>
      <c r="C1173" s="10">
        <v>0</v>
      </c>
      <c r="D1173" s="10">
        <v>0</v>
      </c>
      <c r="E1173" s="10">
        <v>0</v>
      </c>
      <c r="F1173" s="10">
        <v>0</v>
      </c>
    </row>
    <row r="1174" spans="1:6" ht="12.75">
      <c r="A1174" s="5" t="s">
        <v>11</v>
      </c>
      <c r="B1174" s="150">
        <f>C1174+D1174+E1174+F1174</f>
        <v>308556.24</v>
      </c>
      <c r="C1174" s="22">
        <f>C1172+C1173</f>
        <v>8556.68</v>
      </c>
      <c r="D1174" s="155">
        <f>D1172+D1173</f>
        <v>112121.34</v>
      </c>
      <c r="E1174" s="22">
        <f>SUM(E1172:E1173)</f>
        <v>78684.06</v>
      </c>
      <c r="F1174" s="155">
        <f>SUM(F1172:F1173)</f>
        <v>109194.16</v>
      </c>
    </row>
    <row r="1175" spans="1:6" ht="22.5">
      <c r="A1175" s="150" t="s">
        <v>12</v>
      </c>
      <c r="B1175" s="150"/>
      <c r="C1175" s="5"/>
      <c r="D1175" s="5"/>
      <c r="E1175" s="5"/>
      <c r="F1175" s="5"/>
    </row>
    <row r="1176" spans="1:7" ht="12.75">
      <c r="A1176" s="156" t="s">
        <v>13</v>
      </c>
      <c r="B1176" s="166">
        <f>C1176+D1176+E1176+F1176</f>
        <v>114145.37485026999</v>
      </c>
      <c r="C1176" s="157">
        <f>7.5947*C1170</f>
        <v>27453.549400999997</v>
      </c>
      <c r="D1176" s="157">
        <f>7.632*C1170</f>
        <v>27588.38256</v>
      </c>
      <c r="E1176" s="157">
        <f>8.5526*E1170</f>
        <v>30916.195057999998</v>
      </c>
      <c r="F1176" s="157">
        <f>7.797669*F1170</f>
        <v>28187.24783127</v>
      </c>
      <c r="G1176" s="8"/>
    </row>
    <row r="1177" spans="1:6" ht="21.75">
      <c r="A1177" s="156" t="s">
        <v>14</v>
      </c>
      <c r="B1177" s="167">
        <f aca="true" t="shared" si="19" ref="B1177:B1218">C1177+D1177+E1177+F1177</f>
        <v>0</v>
      </c>
      <c r="C1177" s="12"/>
      <c r="D1177" s="12"/>
      <c r="E1177" s="12"/>
      <c r="F1177" s="12"/>
    </row>
    <row r="1178" spans="1:6" ht="12.75">
      <c r="A1178" s="153" t="s">
        <v>15</v>
      </c>
      <c r="B1178" s="167">
        <f t="shared" si="19"/>
        <v>122579.24</v>
      </c>
      <c r="C1178" s="12">
        <f>C1179+C1181</f>
        <v>27817.82</v>
      </c>
      <c r="D1178" s="12">
        <f>D1179+D1181+D1182+D1183+D1184+D1185</f>
        <v>29201.76</v>
      </c>
      <c r="E1178" s="12">
        <f>E1179+E1181+E1182+E1183+E1184+E1185</f>
        <v>33135.5</v>
      </c>
      <c r="F1178" s="12">
        <f>F1179+F1181+F1182+F1183+F1184+F1185</f>
        <v>32424.16</v>
      </c>
    </row>
    <row r="1179" spans="1:6" ht="12.75">
      <c r="A1179" s="158" t="s">
        <v>16</v>
      </c>
      <c r="B1179" s="167">
        <f t="shared" si="19"/>
        <v>114529</v>
      </c>
      <c r="C1179" s="165">
        <v>27606</v>
      </c>
      <c r="D1179" s="12">
        <v>25910</v>
      </c>
      <c r="E1179" s="12">
        <v>32192</v>
      </c>
      <c r="F1179" s="12">
        <v>28821</v>
      </c>
    </row>
    <row r="1180" spans="1:6" ht="12.75">
      <c r="A1180" s="153" t="s">
        <v>33</v>
      </c>
      <c r="B1180" s="167">
        <f t="shared" si="19"/>
        <v>72217.94</v>
      </c>
      <c r="C1180" s="165">
        <v>15736.94</v>
      </c>
      <c r="D1180" s="12">
        <v>17061</v>
      </c>
      <c r="E1180" s="12">
        <v>19710</v>
      </c>
      <c r="F1180" s="12">
        <v>19710</v>
      </c>
    </row>
    <row r="1181" spans="1:6" ht="12.75">
      <c r="A1181" s="153" t="s">
        <v>24</v>
      </c>
      <c r="B1181" s="167">
        <f t="shared" si="19"/>
        <v>2110.74</v>
      </c>
      <c r="C1181" s="12">
        <v>211.82</v>
      </c>
      <c r="D1181" s="12">
        <v>508.76</v>
      </c>
      <c r="E1181" s="12">
        <v>681</v>
      </c>
      <c r="F1181" s="12">
        <v>709.16</v>
      </c>
    </row>
    <row r="1182" spans="1:6" ht="12.75">
      <c r="A1182" s="153" t="s">
        <v>17</v>
      </c>
      <c r="B1182" s="167">
        <f t="shared" si="19"/>
        <v>0</v>
      </c>
      <c r="C1182" s="12"/>
      <c r="D1182" s="12"/>
      <c r="E1182" s="12"/>
      <c r="F1182" s="12"/>
    </row>
    <row r="1183" spans="1:6" ht="12.75">
      <c r="A1183" s="153" t="s">
        <v>40</v>
      </c>
      <c r="B1183" s="167">
        <f t="shared" si="19"/>
        <v>50</v>
      </c>
      <c r="C1183" s="12"/>
      <c r="D1183" s="12"/>
      <c r="E1183" s="12"/>
      <c r="F1183" s="12">
        <v>50</v>
      </c>
    </row>
    <row r="1184" spans="1:6" ht="12.75">
      <c r="A1184" s="153" t="s">
        <v>88</v>
      </c>
      <c r="B1184" s="167">
        <f t="shared" si="19"/>
        <v>514.5</v>
      </c>
      <c r="C1184" s="12"/>
      <c r="D1184" s="12">
        <v>252</v>
      </c>
      <c r="E1184" s="12">
        <v>262.5</v>
      </c>
      <c r="F1184" s="12"/>
    </row>
    <row r="1185" spans="1:6" ht="12.75">
      <c r="A1185" s="153" t="s">
        <v>493</v>
      </c>
      <c r="B1185" s="167">
        <f t="shared" si="19"/>
        <v>5375</v>
      </c>
      <c r="C1185" s="12"/>
      <c r="D1185" s="12">
        <v>2531</v>
      </c>
      <c r="E1185" s="12"/>
      <c r="F1185" s="12">
        <v>2844</v>
      </c>
    </row>
    <row r="1186" spans="1:6" ht="12.75">
      <c r="A1186" s="155" t="s">
        <v>11</v>
      </c>
      <c r="B1186" s="166">
        <f t="shared" si="19"/>
        <v>236724.61485026998</v>
      </c>
      <c r="C1186" s="157">
        <f>C1176+C1178</f>
        <v>55271.369400999996</v>
      </c>
      <c r="D1186" s="157">
        <f>D1176+D1178</f>
        <v>56790.14255999999</v>
      </c>
      <c r="E1186" s="157">
        <f>E1176+E1178</f>
        <v>64051.695058</v>
      </c>
      <c r="F1186" s="157">
        <f>F1176+F1178</f>
        <v>60611.40783127</v>
      </c>
    </row>
    <row r="1187" spans="1:6" ht="21.75">
      <c r="A1187" s="159" t="s">
        <v>18</v>
      </c>
      <c r="B1187" s="167">
        <f t="shared" si="19"/>
        <v>0</v>
      </c>
      <c r="C1187" s="12"/>
      <c r="D1187" s="12"/>
      <c r="E1187" s="12"/>
      <c r="F1187" s="12"/>
    </row>
    <row r="1188" spans="1:6" ht="12.75">
      <c r="A1188" s="153" t="s">
        <v>23</v>
      </c>
      <c r="B1188" s="167">
        <f t="shared" si="19"/>
        <v>88645.391641</v>
      </c>
      <c r="C1188" s="165">
        <f>5.3352*C1170</f>
        <v>19285.841016000002</v>
      </c>
      <c r="D1188" s="12">
        <f>6.1735*C1170</f>
        <v>22316.153005</v>
      </c>
      <c r="E1188" s="12">
        <f>6.4099*E1170</f>
        <v>23170.698817</v>
      </c>
      <c r="F1188" s="12">
        <f>6.6041*F1170</f>
        <v>23872.698803</v>
      </c>
    </row>
    <row r="1189" spans="1:6" ht="12.75">
      <c r="A1189" s="153" t="s">
        <v>495</v>
      </c>
      <c r="B1189" s="167">
        <f t="shared" si="19"/>
        <v>1606</v>
      </c>
      <c r="C1189" s="12"/>
      <c r="D1189" s="12"/>
      <c r="E1189" s="12">
        <v>608</v>
      </c>
      <c r="F1189" s="12">
        <v>998</v>
      </c>
    </row>
    <row r="1190" spans="1:6" ht="12.75">
      <c r="A1190" s="153" t="s">
        <v>275</v>
      </c>
      <c r="B1190" s="167">
        <f t="shared" si="19"/>
        <v>23820</v>
      </c>
      <c r="C1190" s="12"/>
      <c r="D1190" s="12">
        <v>23820</v>
      </c>
      <c r="E1190" s="12"/>
      <c r="F1190" s="12"/>
    </row>
    <row r="1191" spans="1:6" ht="12.75">
      <c r="A1191" s="153" t="s">
        <v>390</v>
      </c>
      <c r="B1191" s="167">
        <f t="shared" si="19"/>
        <v>8063.5</v>
      </c>
      <c r="C1191" s="12">
        <v>4519.5</v>
      </c>
      <c r="D1191" s="12"/>
      <c r="E1191" s="12">
        <v>921</v>
      </c>
      <c r="F1191" s="12">
        <v>2623</v>
      </c>
    </row>
    <row r="1192" spans="1:6" ht="12.75">
      <c r="A1192" s="153" t="s">
        <v>28</v>
      </c>
      <c r="B1192" s="167">
        <f t="shared" si="19"/>
        <v>566</v>
      </c>
      <c r="C1192" s="12"/>
      <c r="D1192" s="12"/>
      <c r="E1192" s="12">
        <v>216</v>
      </c>
      <c r="F1192" s="12">
        <v>350</v>
      </c>
    </row>
    <row r="1193" spans="1:6" ht="12.75">
      <c r="A1193" s="153" t="s">
        <v>41</v>
      </c>
      <c r="B1193" s="167">
        <f t="shared" si="19"/>
        <v>1612</v>
      </c>
      <c r="C1193" s="12"/>
      <c r="D1193" s="12"/>
      <c r="E1193" s="12">
        <v>1612</v>
      </c>
      <c r="F1193" s="12"/>
    </row>
    <row r="1194" spans="1:6" ht="12.75">
      <c r="A1194" s="153" t="s">
        <v>50</v>
      </c>
      <c r="B1194" s="167">
        <f t="shared" si="19"/>
        <v>4205</v>
      </c>
      <c r="C1194" s="12"/>
      <c r="D1194" s="12">
        <v>4205</v>
      </c>
      <c r="E1194" s="12"/>
      <c r="F1194" s="12"/>
    </row>
    <row r="1195" spans="1:6" ht="12.75">
      <c r="A1195" s="180" t="s">
        <v>52</v>
      </c>
      <c r="B1195" s="167">
        <f t="shared" si="19"/>
        <v>1967</v>
      </c>
      <c r="C1195" s="12">
        <v>1967</v>
      </c>
      <c r="D1195" s="12"/>
      <c r="E1195" s="12"/>
      <c r="F1195" s="12"/>
    </row>
    <row r="1196" spans="1:6" ht="22.5">
      <c r="A1196" s="153" t="s">
        <v>225</v>
      </c>
      <c r="B1196" s="167">
        <f t="shared" si="19"/>
        <v>518.13</v>
      </c>
      <c r="C1196" s="12">
        <v>518.13</v>
      </c>
      <c r="D1196" s="12"/>
      <c r="E1196" s="12"/>
      <c r="F1196" s="12"/>
    </row>
    <row r="1197" spans="1:6" ht="12.75">
      <c r="A1197" s="180" t="s">
        <v>27</v>
      </c>
      <c r="B1197" s="167">
        <f t="shared" si="19"/>
        <v>0</v>
      </c>
      <c r="C1197" s="12"/>
      <c r="D1197" s="12"/>
      <c r="E1197" s="12"/>
      <c r="F1197" s="12"/>
    </row>
    <row r="1198" spans="1:6" ht="12.75">
      <c r="A1198" s="153" t="s">
        <v>251</v>
      </c>
      <c r="B1198" s="167">
        <f t="shared" si="19"/>
        <v>5040</v>
      </c>
      <c r="C1198" s="12"/>
      <c r="D1198" s="12">
        <v>5040</v>
      </c>
      <c r="E1198" s="12"/>
      <c r="F1198" s="12"/>
    </row>
    <row r="1199" spans="1:6" ht="22.5">
      <c r="A1199" s="153" t="s">
        <v>457</v>
      </c>
      <c r="B1199" s="167">
        <f t="shared" si="19"/>
        <v>11200</v>
      </c>
      <c r="C1199" s="12"/>
      <c r="D1199" s="12"/>
      <c r="E1199" s="12"/>
      <c r="F1199" s="12">
        <v>11200</v>
      </c>
    </row>
    <row r="1200" spans="1:6" ht="12.75">
      <c r="A1200" s="153" t="s">
        <v>47</v>
      </c>
      <c r="B1200" s="167">
        <f t="shared" si="19"/>
        <v>0</v>
      </c>
      <c r="C1200" s="12"/>
      <c r="D1200" s="12"/>
      <c r="E1200" s="12"/>
      <c r="F1200" s="12"/>
    </row>
    <row r="1201" spans="1:6" ht="12.75">
      <c r="A1201" s="153" t="s">
        <v>453</v>
      </c>
      <c r="B1201" s="167">
        <f t="shared" si="19"/>
        <v>909</v>
      </c>
      <c r="C1201" s="12"/>
      <c r="D1201" s="12"/>
      <c r="E1201" s="12"/>
      <c r="F1201" s="12">
        <v>909</v>
      </c>
    </row>
    <row r="1202" spans="1:6" ht="12.75">
      <c r="A1202" s="153" t="s">
        <v>108</v>
      </c>
      <c r="B1202" s="167">
        <f t="shared" si="19"/>
        <v>0</v>
      </c>
      <c r="C1202" s="12"/>
      <c r="D1202" s="12"/>
      <c r="E1202" s="12"/>
      <c r="F1202" s="12"/>
    </row>
    <row r="1203" spans="1:6" ht="12.75">
      <c r="A1203" s="153" t="s">
        <v>494</v>
      </c>
      <c r="B1203" s="167">
        <f t="shared" si="19"/>
        <v>4250</v>
      </c>
      <c r="C1203" s="12"/>
      <c r="D1203" s="12"/>
      <c r="E1203" s="12"/>
      <c r="F1203" s="12">
        <v>4250</v>
      </c>
    </row>
    <row r="1204" spans="1:6" ht="12.75">
      <c r="A1204" s="153" t="s">
        <v>232</v>
      </c>
      <c r="B1204" s="167">
        <f t="shared" si="19"/>
        <v>6</v>
      </c>
      <c r="C1204" s="12">
        <v>6</v>
      </c>
      <c r="D1204" s="12"/>
      <c r="E1204" s="12"/>
      <c r="F1204" s="12"/>
    </row>
    <row r="1205" spans="1:6" ht="12.75">
      <c r="A1205" s="153" t="s">
        <v>137</v>
      </c>
      <c r="B1205" s="167">
        <f t="shared" si="19"/>
        <v>44459</v>
      </c>
      <c r="C1205" s="12"/>
      <c r="D1205" s="12">
        <v>44459</v>
      </c>
      <c r="E1205" s="12"/>
      <c r="F1205" s="12"/>
    </row>
    <row r="1206" spans="1:6" ht="12.75">
      <c r="A1206" s="153" t="s">
        <v>276</v>
      </c>
      <c r="B1206" s="167">
        <f t="shared" si="19"/>
        <v>21630</v>
      </c>
      <c r="C1206" s="12"/>
      <c r="D1206" s="12">
        <v>21630</v>
      </c>
      <c r="E1206" s="12"/>
      <c r="F1206" s="12"/>
    </row>
    <row r="1207" spans="1:6" ht="12" customHeight="1">
      <c r="A1207" s="153" t="s">
        <v>391</v>
      </c>
      <c r="B1207" s="167">
        <f t="shared" si="19"/>
        <v>0</v>
      </c>
      <c r="C1207" s="12"/>
      <c r="D1207" s="12"/>
      <c r="E1207" s="30">
        <v>0</v>
      </c>
      <c r="F1207" s="12"/>
    </row>
    <row r="1208" spans="1:6" ht="12.75">
      <c r="A1208" s="153" t="s">
        <v>58</v>
      </c>
      <c r="B1208" s="167">
        <f t="shared" si="19"/>
        <v>0</v>
      </c>
      <c r="C1208" s="12"/>
      <c r="D1208" s="12"/>
      <c r="E1208" s="12"/>
      <c r="F1208" s="12"/>
    </row>
    <row r="1209" spans="1:6" ht="12.75">
      <c r="A1209" s="155" t="s">
        <v>11</v>
      </c>
      <c r="B1209" s="166">
        <f t="shared" si="19"/>
        <v>218497.021641</v>
      </c>
      <c r="C1209" s="157">
        <f>C1188+C1189+C1190+C1191+C1192++C1193+C1194+C1195+C1196+C1197+C1198+C1199+C1200+C1201+C1202+C1203+C1204+C1205+C1206+C1207+C1208</f>
        <v>26296.471016000003</v>
      </c>
      <c r="D1209" s="157">
        <f>SUM(D1188:D1208)</f>
        <v>121470.153005</v>
      </c>
      <c r="E1209" s="157">
        <f>SUM(E1188:E1208)</f>
        <v>26527.698817</v>
      </c>
      <c r="F1209" s="157">
        <f>SUM(F1188:F1208)</f>
        <v>44202.698803</v>
      </c>
    </row>
    <row r="1210" spans="1:6" ht="12.75">
      <c r="A1210" s="155" t="s">
        <v>19</v>
      </c>
      <c r="B1210" s="167">
        <f t="shared" si="19"/>
        <v>0</v>
      </c>
      <c r="C1210" s="12"/>
      <c r="D1210" s="12"/>
      <c r="E1210" s="12"/>
      <c r="F1210" s="12"/>
    </row>
    <row r="1211" spans="1:6" ht="12.75">
      <c r="A1211" s="153" t="s">
        <v>38</v>
      </c>
      <c r="B1211" s="167">
        <f t="shared" si="19"/>
        <v>3038.74538739</v>
      </c>
      <c r="C1211" s="12">
        <f>0.218666*C1170</f>
        <v>790.44041678</v>
      </c>
      <c r="D1211" s="12">
        <f>0.210458*C1170</f>
        <v>760.76989214</v>
      </c>
      <c r="E1211" s="12">
        <f>0.167241*E1170</f>
        <v>604.54778403</v>
      </c>
      <c r="F1211" s="12">
        <f>0.244268*F1170</f>
        <v>882.98729444</v>
      </c>
    </row>
    <row r="1212" spans="1:6" ht="12.75">
      <c r="A1212" s="153" t="s">
        <v>39</v>
      </c>
      <c r="B1212" s="167">
        <f t="shared" si="19"/>
        <v>6025.6288087699995</v>
      </c>
      <c r="C1212" s="12">
        <f>0.306583*C1170</f>
        <v>1108.24542589</v>
      </c>
      <c r="D1212" s="12">
        <f>0.0733554*C1170</f>
        <v>265.167300582</v>
      </c>
      <c r="E1212" s="12">
        <f>0.536065*E1170</f>
        <v>1937.7838439500001</v>
      </c>
      <c r="F1212" s="12">
        <f>0.7509156*F1170</f>
        <v>2714.432238348</v>
      </c>
    </row>
    <row r="1213" spans="1:6" ht="12.75">
      <c r="A1213" s="153" t="s">
        <v>389</v>
      </c>
      <c r="B1213" s="167">
        <f t="shared" si="19"/>
        <v>500</v>
      </c>
      <c r="C1213" s="12"/>
      <c r="D1213" s="12"/>
      <c r="E1213" s="12">
        <v>500</v>
      </c>
      <c r="F1213" s="12"/>
    </row>
    <row r="1214" spans="1:6" ht="12.75">
      <c r="A1214" s="153" t="s">
        <v>37</v>
      </c>
      <c r="B1214" s="167">
        <f t="shared" si="19"/>
        <v>7784.734497684</v>
      </c>
      <c r="C1214" s="12">
        <f>0.70476*C1170</f>
        <v>2547.5875908000003</v>
      </c>
      <c r="D1214" s="12">
        <f>0.3731258*C1170</f>
        <v>1348.786335614</v>
      </c>
      <c r="E1214" s="12">
        <f>0.553205*E1170</f>
        <v>1999.7420301499997</v>
      </c>
      <c r="F1214" s="12">
        <f>0.522464*F1170</f>
        <v>1888.6185411200001</v>
      </c>
    </row>
    <row r="1215" spans="1:6" ht="12.75">
      <c r="A1215" s="153" t="s">
        <v>20</v>
      </c>
      <c r="B1215" s="167">
        <f t="shared" si="19"/>
        <v>2878.5903442400004</v>
      </c>
      <c r="C1215" s="12"/>
      <c r="D1215" s="12">
        <f>0.158142*C1170</f>
        <v>571.65644586</v>
      </c>
      <c r="E1215" s="12">
        <f>0.60489*E1170</f>
        <v>2186.5745187</v>
      </c>
      <c r="F1215" s="12">
        <f>0.033296*F1170</f>
        <v>120.35937967999999</v>
      </c>
    </row>
    <row r="1216" spans="1:6" ht="12.75">
      <c r="A1216" s="156" t="s">
        <v>11</v>
      </c>
      <c r="B1216" s="166">
        <f t="shared" si="19"/>
        <v>18878.91270247</v>
      </c>
      <c r="C1216" s="157">
        <f>C1211+C1212+C1213+C1214+C1215</f>
        <v>4446.27343347</v>
      </c>
      <c r="D1216" s="157">
        <f>D1211+D1212+D1213+D1215</f>
        <v>1597.593638582</v>
      </c>
      <c r="E1216" s="157">
        <f>SUM(E1211:E1215)</f>
        <v>7228.64817683</v>
      </c>
      <c r="F1216" s="12">
        <f>SUM(F1211:F1215)</f>
        <v>5606.397453588</v>
      </c>
    </row>
    <row r="1217" spans="1:6" ht="12.75">
      <c r="A1217" s="153" t="s">
        <v>101</v>
      </c>
      <c r="B1217" s="167">
        <f t="shared" si="19"/>
        <v>2358.5451268799998</v>
      </c>
      <c r="C1217" s="157">
        <f>0.0644*C1170</f>
        <v>232.795052</v>
      </c>
      <c r="D1217" s="157">
        <v>200</v>
      </c>
      <c r="E1217" s="12">
        <f>0.10264*E1170</f>
        <v>371.02615119999996</v>
      </c>
      <c r="F1217" s="12">
        <f>0.430096*F1170</f>
        <v>1554.7239236799999</v>
      </c>
    </row>
    <row r="1218" spans="1:6" ht="33.75">
      <c r="A1218" s="161" t="s">
        <v>21</v>
      </c>
      <c r="B1218" s="166">
        <f t="shared" si="19"/>
        <v>476088.06816941994</v>
      </c>
      <c r="C1218" s="157">
        <f>C1186+C1209+C1216+C1217</f>
        <v>86246.90890247</v>
      </c>
      <c r="D1218" s="157">
        <f>D1186+D1209+D1216+D1217</f>
        <v>180057.889203582</v>
      </c>
      <c r="E1218" s="157">
        <f>E1186+E1209+E1216</f>
        <v>97808.04205183</v>
      </c>
      <c r="F1218" s="157">
        <f>F1186+F1209+F1216+F1217</f>
        <v>111975.22801153798</v>
      </c>
    </row>
    <row r="1219" spans="1:6" ht="45">
      <c r="A1219" s="161" t="s">
        <v>22</v>
      </c>
      <c r="B1219" s="162">
        <f>B1218/12/C1170</f>
        <v>10.975344810346543</v>
      </c>
      <c r="C1219" s="14">
        <f>C1218/C1170/3</f>
        <v>7.9530626984274955</v>
      </c>
      <c r="D1219" s="14">
        <f>D1218/3/C1170</f>
        <v>16.60362905065909</v>
      </c>
      <c r="E1219" s="14">
        <f>E1218/3/C1170</f>
        <v>9.0191463177918</v>
      </c>
      <c r="F1219" s="14">
        <f>F1218/3/C1170</f>
        <v>10.325541174507789</v>
      </c>
    </row>
    <row r="1220" spans="1:6" ht="12.75">
      <c r="A1220" s="163" t="s">
        <v>34</v>
      </c>
      <c r="B1220" s="164">
        <f>B1174-B1218</f>
        <v>-167531.82816941995</v>
      </c>
      <c r="C1220" s="165">
        <f>C1174-C1218</f>
        <v>-77690.22890247</v>
      </c>
      <c r="D1220" s="165">
        <f>D1174-D1218-77690</f>
        <v>-145626.549203582</v>
      </c>
      <c r="E1220" s="165">
        <f>E1174-E1218-145627</f>
        <v>-164750.98205182998</v>
      </c>
      <c r="F1220" s="165">
        <f>F1174-F1218-178903</f>
        <v>-181684.06801153798</v>
      </c>
    </row>
    <row r="1221" spans="1:6" ht="12.75">
      <c r="A1221" s="29" t="s">
        <v>44</v>
      </c>
      <c r="B1221" s="29"/>
      <c r="C1221" s="29"/>
      <c r="D1221" s="29"/>
      <c r="E1221" s="29"/>
      <c r="F1221" s="29"/>
    </row>
    <row r="1222" spans="1:6" ht="12.75">
      <c r="A1222" s="29" t="s">
        <v>45</v>
      </c>
      <c r="B1222" s="29"/>
      <c r="C1222" s="29"/>
      <c r="D1222" s="29"/>
      <c r="E1222" s="29"/>
      <c r="F1222" s="29"/>
    </row>
    <row r="1223" spans="1:6" ht="12.75">
      <c r="A1223" s="29" t="s">
        <v>579</v>
      </c>
      <c r="B1223" s="29"/>
      <c r="C1223" s="29"/>
      <c r="D1223" s="29"/>
      <c r="E1223" s="29"/>
      <c r="F1223" s="29"/>
    </row>
    <row r="1224" spans="1:6" ht="296.25" customHeight="1">
      <c r="A1224" s="29"/>
      <c r="B1224" s="29"/>
      <c r="C1224" s="29"/>
      <c r="D1224" s="29"/>
      <c r="E1224" s="29"/>
      <c r="F1224" s="29"/>
    </row>
    <row r="1225" spans="1:6" ht="12.75">
      <c r="A1225" s="120" t="s">
        <v>35</v>
      </c>
      <c r="B1225" s="120"/>
      <c r="C1225" s="29"/>
      <c r="D1225" s="29"/>
      <c r="E1225" s="29"/>
      <c r="F1225" s="29"/>
    </row>
    <row r="1226" spans="1:6" ht="12.75">
      <c r="A1226" s="29" t="s">
        <v>616</v>
      </c>
      <c r="B1226" s="29"/>
      <c r="C1226" s="29"/>
      <c r="D1226" s="29"/>
      <c r="E1226" s="29"/>
      <c r="F1226" s="29"/>
    </row>
    <row r="1227" spans="1:6" ht="12.75">
      <c r="A1227" s="29" t="s">
        <v>224</v>
      </c>
      <c r="B1227" s="29"/>
      <c r="C1227" s="29"/>
      <c r="D1227" s="29"/>
      <c r="E1227" s="29"/>
      <c r="F1227" s="29"/>
    </row>
    <row r="1228" spans="1:6" ht="12.75">
      <c r="A1228" s="29" t="s">
        <v>603</v>
      </c>
      <c r="B1228" s="29"/>
      <c r="C1228" s="29"/>
      <c r="D1228" s="29"/>
      <c r="E1228" s="29" t="s">
        <v>340</v>
      </c>
      <c r="F1228" s="29"/>
    </row>
    <row r="1229" spans="1:6" ht="12.75">
      <c r="A1229" s="10" t="s">
        <v>1</v>
      </c>
      <c r="B1229" s="10" t="s">
        <v>11</v>
      </c>
      <c r="C1229" s="10" t="s">
        <v>86</v>
      </c>
      <c r="D1229" s="10" t="s">
        <v>87</v>
      </c>
      <c r="E1229" s="10" t="s">
        <v>120</v>
      </c>
      <c r="F1229" s="10" t="s">
        <v>141</v>
      </c>
    </row>
    <row r="1230" spans="1:6" ht="12.75">
      <c r="A1230" s="22" t="s">
        <v>6</v>
      </c>
      <c r="B1230" s="22"/>
      <c r="C1230" s="10"/>
      <c r="D1230" s="5"/>
      <c r="E1230" s="5"/>
      <c r="F1230" s="5"/>
    </row>
    <row r="1231" spans="1:6" ht="12.75">
      <c r="A1231" s="5" t="s">
        <v>2</v>
      </c>
      <c r="B1231" s="5"/>
      <c r="C1231" s="10">
        <v>5</v>
      </c>
      <c r="D1231" s="5"/>
      <c r="E1231" s="5"/>
      <c r="F1231" s="5"/>
    </row>
    <row r="1232" spans="1:6" ht="12.75">
      <c r="A1232" s="5" t="s">
        <v>3</v>
      </c>
      <c r="B1232" s="5"/>
      <c r="C1232" s="10">
        <v>6</v>
      </c>
      <c r="D1232" s="5"/>
      <c r="E1232" s="5"/>
      <c r="F1232" s="5"/>
    </row>
    <row r="1233" spans="1:6" ht="12.75">
      <c r="A1233" s="5" t="s">
        <v>4</v>
      </c>
      <c r="B1233" s="5"/>
      <c r="C1233" s="10">
        <v>60</v>
      </c>
      <c r="D1233" s="5"/>
      <c r="E1233" s="5"/>
      <c r="F1233" s="5"/>
    </row>
    <row r="1234" spans="1:6" ht="12.75">
      <c r="A1234" s="5" t="s">
        <v>5</v>
      </c>
      <c r="B1234" s="10">
        <v>3608.85</v>
      </c>
      <c r="C1234" s="10">
        <v>3608.85</v>
      </c>
      <c r="D1234" s="10">
        <v>3608.85</v>
      </c>
      <c r="E1234" s="10">
        <v>3608.85</v>
      </c>
      <c r="F1234" s="10">
        <v>3608.85</v>
      </c>
    </row>
    <row r="1235" spans="1:6" ht="22.5">
      <c r="A1235" s="150" t="s">
        <v>7</v>
      </c>
      <c r="B1235" s="150"/>
      <c r="C1235" s="5" t="s">
        <v>36</v>
      </c>
      <c r="D1235" s="5"/>
      <c r="E1235" s="5"/>
      <c r="F1235" s="5"/>
    </row>
    <row r="1236" spans="1:6" ht="22.5">
      <c r="A1236" s="151" t="s">
        <v>8</v>
      </c>
      <c r="B1236" s="6">
        <f>C1236+D1236+E1236+F1236</f>
        <v>404531.42</v>
      </c>
      <c r="C1236" s="10">
        <v>87002</v>
      </c>
      <c r="D1236" s="10">
        <v>115203.93</v>
      </c>
      <c r="E1236" s="10">
        <v>102571.69</v>
      </c>
      <c r="F1236" s="10">
        <v>99753.8</v>
      </c>
    </row>
    <row r="1237" spans="1:6" ht="22.5">
      <c r="A1237" s="153" t="s">
        <v>9</v>
      </c>
      <c r="B1237" s="6">
        <f>C1237+D1237+E1237+F1237</f>
        <v>5058.01</v>
      </c>
      <c r="C1237" s="10">
        <v>1976.31</v>
      </c>
      <c r="D1237" s="10">
        <v>1038.4</v>
      </c>
      <c r="E1237" s="10">
        <v>0</v>
      </c>
      <c r="F1237" s="10">
        <v>2043.3</v>
      </c>
    </row>
    <row r="1238" spans="1:6" ht="12.75">
      <c r="A1238" s="5" t="s">
        <v>11</v>
      </c>
      <c r="B1238" s="6">
        <f>C1238+D1238+E1238+F1238</f>
        <v>409589.42999999993</v>
      </c>
      <c r="C1238" s="22">
        <f>C1236+C1237</f>
        <v>88978.31</v>
      </c>
      <c r="D1238" s="22">
        <f>SUM(D1236:D1237)</f>
        <v>116242.32999999999</v>
      </c>
      <c r="E1238" s="22">
        <f>SUM(E1236:E1237)</f>
        <v>102571.69</v>
      </c>
      <c r="F1238" s="10">
        <f>SUM(F1236:F1237)</f>
        <v>101797.1</v>
      </c>
    </row>
    <row r="1239" spans="1:6" ht="22.5">
      <c r="A1239" s="150" t="s">
        <v>12</v>
      </c>
      <c r="B1239" s="150"/>
      <c r="C1239" s="5"/>
      <c r="D1239" s="5"/>
      <c r="E1239" s="5"/>
      <c r="F1239" s="5"/>
    </row>
    <row r="1240" spans="1:7" ht="12.75">
      <c r="A1240" s="156" t="s">
        <v>13</v>
      </c>
      <c r="B1240" s="166">
        <f>C1240+D1240+E1240+F1240</f>
        <v>113956.54457565</v>
      </c>
      <c r="C1240" s="157">
        <f>7.5947*C1234</f>
        <v>27408.133094999997</v>
      </c>
      <c r="D1240" s="157">
        <f>7.632*C1234</f>
        <v>27542.743199999997</v>
      </c>
      <c r="E1240" s="157">
        <f>8.5526*E1234</f>
        <v>30865.05051</v>
      </c>
      <c r="F1240" s="157">
        <f>7.797669*F1234</f>
        <v>28140.61777065</v>
      </c>
      <c r="G1240" s="8"/>
    </row>
    <row r="1241" spans="1:6" ht="21.75">
      <c r="A1241" s="156" t="s">
        <v>14</v>
      </c>
      <c r="B1241" s="167">
        <f aca="true" t="shared" si="20" ref="B1241:B1282">C1241+D1241+E1241+F1241</f>
        <v>0</v>
      </c>
      <c r="C1241" s="12"/>
      <c r="D1241" s="12"/>
      <c r="E1241" s="12"/>
      <c r="F1241" s="12"/>
    </row>
    <row r="1242" spans="1:6" ht="12.75">
      <c r="A1242" s="153" t="s">
        <v>15</v>
      </c>
      <c r="B1242" s="167">
        <f t="shared" si="20"/>
        <v>128776.58</v>
      </c>
      <c r="C1242" s="12">
        <f>C1243+C1245</f>
        <v>27798.01</v>
      </c>
      <c r="D1242" s="12">
        <f>D1243+D1245+D1246+D1247+D1248+D1249</f>
        <v>32551.4</v>
      </c>
      <c r="E1242" s="12">
        <f>E1243+E1245+E1246+E1247+E1248+E1249</f>
        <v>36587.17</v>
      </c>
      <c r="F1242" s="12">
        <f>F1243+F1245+F1246+F1247+F1248+F1249</f>
        <v>31840</v>
      </c>
    </row>
    <row r="1243" spans="1:6" ht="12.75">
      <c r="A1243" s="158" t="s">
        <v>16</v>
      </c>
      <c r="B1243" s="167">
        <f t="shared" si="20"/>
        <v>114459</v>
      </c>
      <c r="C1243" s="165">
        <v>27587</v>
      </c>
      <c r="D1243" s="12">
        <v>25895</v>
      </c>
      <c r="E1243" s="12">
        <v>32171</v>
      </c>
      <c r="F1243" s="12">
        <v>28806</v>
      </c>
    </row>
    <row r="1244" spans="1:6" ht="12.75">
      <c r="A1244" s="153" t="s">
        <v>33</v>
      </c>
      <c r="B1244" s="167">
        <f t="shared" si="20"/>
        <v>72217.94</v>
      </c>
      <c r="C1244" s="165">
        <v>15736.94</v>
      </c>
      <c r="D1244" s="12">
        <v>17061</v>
      </c>
      <c r="E1244" s="12">
        <v>19710</v>
      </c>
      <c r="F1244" s="12">
        <v>19710</v>
      </c>
    </row>
    <row r="1245" spans="1:6" ht="12.75">
      <c r="A1245" s="153" t="s">
        <v>24</v>
      </c>
      <c r="B1245" s="167">
        <f t="shared" si="20"/>
        <v>2108.68</v>
      </c>
      <c r="C1245" s="12">
        <v>211.01</v>
      </c>
      <c r="D1245" s="12">
        <v>507</v>
      </c>
      <c r="E1245" s="12">
        <v>677.67</v>
      </c>
      <c r="F1245" s="12">
        <v>713</v>
      </c>
    </row>
    <row r="1246" spans="1:6" ht="12.75">
      <c r="A1246" s="153" t="s">
        <v>17</v>
      </c>
      <c r="B1246" s="167">
        <f t="shared" si="20"/>
        <v>0</v>
      </c>
      <c r="C1246" s="12"/>
      <c r="D1246" s="12"/>
      <c r="E1246" s="12"/>
      <c r="F1246" s="12"/>
    </row>
    <row r="1247" spans="1:6" ht="12.75">
      <c r="A1247" s="153" t="s">
        <v>40</v>
      </c>
      <c r="B1247" s="167">
        <f t="shared" si="20"/>
        <v>1525</v>
      </c>
      <c r="C1247" s="12"/>
      <c r="D1247" s="12">
        <v>1100</v>
      </c>
      <c r="E1247" s="12">
        <v>375</v>
      </c>
      <c r="F1247" s="12">
        <v>50</v>
      </c>
    </row>
    <row r="1248" spans="1:6" ht="12.75">
      <c r="A1248" s="153" t="s">
        <v>88</v>
      </c>
      <c r="B1248" s="167">
        <f t="shared" si="20"/>
        <v>2624.9</v>
      </c>
      <c r="C1248" s="12"/>
      <c r="D1248" s="12">
        <v>2362.4</v>
      </c>
      <c r="E1248" s="12">
        <v>262.5</v>
      </c>
      <c r="F1248" s="12"/>
    </row>
    <row r="1249" spans="1:6" ht="12.75">
      <c r="A1249" s="153" t="s">
        <v>496</v>
      </c>
      <c r="B1249" s="167">
        <f t="shared" si="20"/>
        <v>8059</v>
      </c>
      <c r="C1249" s="12"/>
      <c r="D1249" s="12">
        <v>2687</v>
      </c>
      <c r="E1249" s="12">
        <v>3101</v>
      </c>
      <c r="F1249" s="12">
        <v>2271</v>
      </c>
    </row>
    <row r="1250" spans="1:6" ht="12.75">
      <c r="A1250" s="155" t="s">
        <v>11</v>
      </c>
      <c r="B1250" s="166">
        <f t="shared" si="20"/>
        <v>242733.12457565003</v>
      </c>
      <c r="C1250" s="157">
        <f>C1240+C1242</f>
        <v>55206.14309499999</v>
      </c>
      <c r="D1250" s="157">
        <f>D1240+D1242</f>
        <v>60094.1432</v>
      </c>
      <c r="E1250" s="157">
        <f>E1240+E1242</f>
        <v>67452.22051</v>
      </c>
      <c r="F1250" s="157">
        <f>F1240+F1242</f>
        <v>59980.61777065</v>
      </c>
    </row>
    <row r="1251" spans="1:6" ht="21.75">
      <c r="A1251" s="159" t="s">
        <v>18</v>
      </c>
      <c r="B1251" s="167">
        <f t="shared" si="20"/>
        <v>0</v>
      </c>
      <c r="C1251" s="12"/>
      <c r="D1251" s="12"/>
      <c r="E1251" s="12"/>
      <c r="F1251" s="12"/>
    </row>
    <row r="1252" spans="1:6" ht="12.75">
      <c r="A1252" s="153" t="s">
        <v>23</v>
      </c>
      <c r="B1252" s="167">
        <f t="shared" si="20"/>
        <v>88498.745895</v>
      </c>
      <c r="C1252" s="165">
        <f>5.3352*C1234</f>
        <v>19253.93652</v>
      </c>
      <c r="D1252" s="12">
        <f>6.1735*C1234</f>
        <v>22279.235474999998</v>
      </c>
      <c r="E1252" s="12">
        <f>6.4099*E1234</f>
        <v>23132.367615</v>
      </c>
      <c r="F1252" s="12">
        <f>6.6041*F1234</f>
        <v>23833.206285</v>
      </c>
    </row>
    <row r="1253" spans="1:6" ht="12.75">
      <c r="A1253" s="153" t="s">
        <v>393</v>
      </c>
      <c r="B1253" s="167">
        <f t="shared" si="20"/>
        <v>31414</v>
      </c>
      <c r="C1253" s="12"/>
      <c r="D1253" s="12">
        <v>26216</v>
      </c>
      <c r="E1253" s="12">
        <v>608</v>
      </c>
      <c r="F1253" s="12">
        <v>4590</v>
      </c>
    </row>
    <row r="1254" spans="1:6" ht="12.75">
      <c r="A1254" s="153" t="s">
        <v>62</v>
      </c>
      <c r="B1254" s="167">
        <f t="shared" si="20"/>
        <v>4950</v>
      </c>
      <c r="C1254" s="12"/>
      <c r="D1254" s="12"/>
      <c r="E1254" s="12"/>
      <c r="F1254" s="12">
        <v>4950</v>
      </c>
    </row>
    <row r="1255" spans="1:6" ht="12.75">
      <c r="A1255" s="153" t="s">
        <v>392</v>
      </c>
      <c r="B1255" s="167">
        <f t="shared" si="20"/>
        <v>66249.25</v>
      </c>
      <c r="C1255" s="12">
        <v>7141.25</v>
      </c>
      <c r="D1255" s="12">
        <v>7440</v>
      </c>
      <c r="E1255" s="12">
        <v>36566</v>
      </c>
      <c r="F1255" s="12">
        <v>15102</v>
      </c>
    </row>
    <row r="1256" spans="1:6" ht="12.75">
      <c r="A1256" s="153" t="s">
        <v>28</v>
      </c>
      <c r="B1256" s="167">
        <f t="shared" si="20"/>
        <v>5780</v>
      </c>
      <c r="C1256" s="12"/>
      <c r="D1256" s="12"/>
      <c r="E1256" s="12">
        <v>4800</v>
      </c>
      <c r="F1256" s="12">
        <v>980</v>
      </c>
    </row>
    <row r="1257" spans="1:6" ht="12.75">
      <c r="A1257" s="153" t="s">
        <v>41</v>
      </c>
      <c r="B1257" s="167">
        <f t="shared" si="20"/>
        <v>1114</v>
      </c>
      <c r="C1257" s="12"/>
      <c r="D1257" s="12">
        <v>1114</v>
      </c>
      <c r="E1257" s="12"/>
      <c r="F1257" s="12"/>
    </row>
    <row r="1258" spans="1:6" ht="12.75">
      <c r="A1258" s="153" t="s">
        <v>50</v>
      </c>
      <c r="B1258" s="167">
        <f t="shared" si="20"/>
        <v>2929</v>
      </c>
      <c r="C1258" s="12"/>
      <c r="D1258" s="12">
        <v>625</v>
      </c>
      <c r="E1258" s="12">
        <v>659</v>
      </c>
      <c r="F1258" s="12">
        <v>1645</v>
      </c>
    </row>
    <row r="1259" spans="1:6" ht="12.75">
      <c r="A1259" s="153" t="s">
        <v>52</v>
      </c>
      <c r="B1259" s="167">
        <f t="shared" si="20"/>
        <v>12936.5</v>
      </c>
      <c r="C1259" s="12">
        <v>3551.5</v>
      </c>
      <c r="D1259" s="12">
        <v>6415</v>
      </c>
      <c r="E1259" s="12"/>
      <c r="F1259" s="12">
        <v>2970</v>
      </c>
    </row>
    <row r="1260" spans="1:6" ht="22.5">
      <c r="A1260" s="153" t="s">
        <v>225</v>
      </c>
      <c r="B1260" s="167">
        <f t="shared" si="20"/>
        <v>517.24</v>
      </c>
      <c r="C1260" s="12">
        <v>517.24</v>
      </c>
      <c r="D1260" s="12"/>
      <c r="E1260" s="12"/>
      <c r="F1260" s="12"/>
    </row>
    <row r="1261" spans="1:6" ht="12.75">
      <c r="A1261" s="153" t="s">
        <v>27</v>
      </c>
      <c r="B1261" s="167">
        <f t="shared" si="20"/>
        <v>435</v>
      </c>
      <c r="C1261" s="12"/>
      <c r="D1261" s="12"/>
      <c r="E1261" s="12">
        <v>435</v>
      </c>
      <c r="F1261" s="12"/>
    </row>
    <row r="1262" spans="1:6" ht="12.75">
      <c r="A1262" s="153" t="s">
        <v>251</v>
      </c>
      <c r="B1262" s="167">
        <f t="shared" si="20"/>
        <v>4692.5</v>
      </c>
      <c r="C1262" s="12"/>
      <c r="D1262" s="12">
        <v>4655</v>
      </c>
      <c r="E1262" s="12"/>
      <c r="F1262" s="12">
        <v>37.5</v>
      </c>
    </row>
    <row r="1263" spans="1:6" ht="12.75">
      <c r="A1263" s="153" t="s">
        <v>453</v>
      </c>
      <c r="B1263" s="167">
        <f t="shared" si="20"/>
        <v>907</v>
      </c>
      <c r="C1263" s="12"/>
      <c r="D1263" s="12"/>
      <c r="E1263" s="12"/>
      <c r="F1263" s="12">
        <v>907</v>
      </c>
    </row>
    <row r="1264" spans="1:6" ht="12.75">
      <c r="A1264" s="153" t="s">
        <v>47</v>
      </c>
      <c r="B1264" s="167">
        <f t="shared" si="20"/>
        <v>0</v>
      </c>
      <c r="C1264" s="12"/>
      <c r="D1264" s="12"/>
      <c r="E1264" s="12"/>
      <c r="F1264" s="12"/>
    </row>
    <row r="1265" spans="1:6" ht="22.5">
      <c r="A1265" s="153" t="s">
        <v>457</v>
      </c>
      <c r="B1265" s="167">
        <f t="shared" si="20"/>
        <v>10400</v>
      </c>
      <c r="C1265" s="12"/>
      <c r="D1265" s="12"/>
      <c r="E1265" s="12"/>
      <c r="F1265" s="12">
        <v>10400</v>
      </c>
    </row>
    <row r="1266" spans="1:6" ht="12.75">
      <c r="A1266" s="153" t="s">
        <v>102</v>
      </c>
      <c r="B1266" s="167">
        <f t="shared" si="20"/>
        <v>0</v>
      </c>
      <c r="C1266" s="12"/>
      <c r="D1266" s="12"/>
      <c r="E1266" s="12"/>
      <c r="F1266" s="12"/>
    </row>
    <row r="1267" spans="1:6" ht="12.75">
      <c r="A1267" s="153" t="s">
        <v>49</v>
      </c>
      <c r="B1267" s="167">
        <f t="shared" si="20"/>
        <v>0</v>
      </c>
      <c r="C1267" s="12"/>
      <c r="D1267" s="12"/>
      <c r="E1267" s="12"/>
      <c r="F1267" s="12"/>
    </row>
    <row r="1268" spans="1:6" ht="12.75">
      <c r="A1268" s="153" t="s">
        <v>497</v>
      </c>
      <c r="B1268" s="167">
        <f t="shared" si="20"/>
        <v>0</v>
      </c>
      <c r="C1268" s="12"/>
      <c r="D1268" s="12"/>
      <c r="E1268" s="12"/>
      <c r="F1268" s="30">
        <v>0</v>
      </c>
    </row>
    <row r="1269" spans="1:6" ht="12.75">
      <c r="A1269" s="153" t="s">
        <v>394</v>
      </c>
      <c r="B1269" s="167">
        <f t="shared" si="20"/>
        <v>658.5</v>
      </c>
      <c r="C1269" s="12"/>
      <c r="D1269" s="12"/>
      <c r="E1269" s="12">
        <v>538.5</v>
      </c>
      <c r="F1269" s="12">
        <v>120</v>
      </c>
    </row>
    <row r="1270" spans="1:6" ht="12.75">
      <c r="A1270" s="153" t="s">
        <v>55</v>
      </c>
      <c r="B1270" s="167">
        <f t="shared" si="20"/>
        <v>0</v>
      </c>
      <c r="C1270" s="12"/>
      <c r="D1270" s="12"/>
      <c r="E1270" s="12"/>
      <c r="F1270" s="12"/>
    </row>
    <row r="1271" spans="1:6" ht="12.75">
      <c r="A1271" s="153" t="s">
        <v>115</v>
      </c>
      <c r="B1271" s="167">
        <f t="shared" si="20"/>
        <v>71200.5</v>
      </c>
      <c r="C1271" s="12"/>
      <c r="D1271" s="12"/>
      <c r="E1271" s="12">
        <v>39579.5</v>
      </c>
      <c r="F1271" s="12">
        <v>31621</v>
      </c>
    </row>
    <row r="1272" spans="1:6" ht="12.75">
      <c r="A1272" s="153" t="s">
        <v>138</v>
      </c>
      <c r="B1272" s="167">
        <f t="shared" si="20"/>
        <v>57292</v>
      </c>
      <c r="C1272" s="12"/>
      <c r="D1272" s="12">
        <v>57292</v>
      </c>
      <c r="E1272" s="12"/>
      <c r="F1272" s="12"/>
    </row>
    <row r="1273" spans="1:6" ht="12.75">
      <c r="A1273" s="155" t="s">
        <v>11</v>
      </c>
      <c r="B1273" s="166">
        <f t="shared" si="20"/>
        <v>359974.23589499993</v>
      </c>
      <c r="C1273" s="157">
        <f>C1252+C1253+C1254+C1255+C1256++C1257+C1258+C1259+C1260+C1261+C1262+C1263+C1264+C1265+C1266+C1267+C1268+C1269+C1270+C1271+C1272</f>
        <v>30463.92652</v>
      </c>
      <c r="D1273" s="157">
        <f>SUM(D1252:D1272)</f>
        <v>126036.235475</v>
      </c>
      <c r="E1273" s="157">
        <f>SUM(E1252:E1272)</f>
        <v>106318.367615</v>
      </c>
      <c r="F1273" s="157">
        <f>SUM(F1252:F1272)</f>
        <v>97155.706285</v>
      </c>
    </row>
    <row r="1274" spans="1:6" ht="12.75">
      <c r="A1274" s="155" t="s">
        <v>19</v>
      </c>
      <c r="B1274" s="167">
        <f t="shared" si="20"/>
        <v>0</v>
      </c>
      <c r="C1274" s="12"/>
      <c r="D1274" s="12"/>
      <c r="E1274" s="12"/>
      <c r="F1274" s="12"/>
    </row>
    <row r="1275" spans="1:6" ht="12.75">
      <c r="A1275" s="153" t="s">
        <v>38</v>
      </c>
      <c r="B1275" s="167">
        <f t="shared" si="20"/>
        <v>3033.71840205</v>
      </c>
      <c r="C1275" s="12">
        <f>0.218666*C1234</f>
        <v>789.1327941</v>
      </c>
      <c r="D1275" s="12">
        <f>0.210458*C1234</f>
        <v>759.5113533</v>
      </c>
      <c r="E1275" s="12">
        <f>0.167241*E1234</f>
        <v>603.54768285</v>
      </c>
      <c r="F1275" s="12">
        <f>0.244268*F1234</f>
        <v>881.5265718</v>
      </c>
    </row>
    <row r="1276" spans="1:6" ht="12.75">
      <c r="A1276" s="153" t="s">
        <v>39</v>
      </c>
      <c r="B1276" s="167">
        <f t="shared" si="20"/>
        <v>6015.66063315</v>
      </c>
      <c r="C1276" s="12">
        <f>0.306583*C1234</f>
        <v>1106.4120595499999</v>
      </c>
      <c r="D1276" s="12">
        <f>0.0733554*C1234</f>
        <v>264.72863529</v>
      </c>
      <c r="E1276" s="12">
        <f>0.536065*E1234</f>
        <v>1934.57817525</v>
      </c>
      <c r="F1276" s="12">
        <f>0.7509156*F1234</f>
        <v>2709.94176306</v>
      </c>
    </row>
    <row r="1277" spans="1:6" ht="12.75">
      <c r="A1277" s="153" t="s">
        <v>32</v>
      </c>
      <c r="B1277" s="167">
        <f t="shared" si="20"/>
        <v>0</v>
      </c>
      <c r="C1277" s="12"/>
      <c r="D1277" s="12"/>
      <c r="E1277" s="12"/>
      <c r="F1277" s="12"/>
    </row>
    <row r="1278" spans="1:6" ht="12.75">
      <c r="A1278" s="153" t="s">
        <v>37</v>
      </c>
      <c r="B1278" s="167">
        <f t="shared" si="20"/>
        <v>7771.856239979999</v>
      </c>
      <c r="C1278" s="12">
        <f>0.70476*C1234</f>
        <v>2543.373126</v>
      </c>
      <c r="D1278" s="12">
        <f>0.3731258*C1234</f>
        <v>1346.55504333</v>
      </c>
      <c r="E1278" s="12">
        <f>0.553205*E1234</f>
        <v>1996.4338642499997</v>
      </c>
      <c r="F1278" s="12">
        <f>0.522464*F1234</f>
        <v>1885.4942064000002</v>
      </c>
    </row>
    <row r="1279" spans="1:6" ht="12.75">
      <c r="A1279" s="153" t="s">
        <v>20</v>
      </c>
      <c r="B1279" s="167">
        <f t="shared" si="20"/>
        <v>2873.8283028000005</v>
      </c>
      <c r="C1279" s="12"/>
      <c r="D1279" s="12">
        <f>0.158142*C1234</f>
        <v>570.7107567</v>
      </c>
      <c r="E1279" s="12">
        <f>0.60489*E1234</f>
        <v>2182.9572765000003</v>
      </c>
      <c r="F1279" s="12">
        <f>0.033296*F1234</f>
        <v>120.16026959999999</v>
      </c>
    </row>
    <row r="1280" spans="1:6" ht="12.75">
      <c r="A1280" s="156" t="s">
        <v>11</v>
      </c>
      <c r="B1280" s="166">
        <f t="shared" si="20"/>
        <v>19695.06357798</v>
      </c>
      <c r="C1280" s="157">
        <f>C1275+C1276+C1277+C1278+C1279</f>
        <v>4438.917979649999</v>
      </c>
      <c r="D1280" s="157">
        <f>SUM(D1275:D1279)</f>
        <v>2941.50578862</v>
      </c>
      <c r="E1280" s="157">
        <f>SUM(E1275:E1279)</f>
        <v>6717.51699885</v>
      </c>
      <c r="F1280" s="157">
        <f>SUM(F1275:F1279)</f>
        <v>5597.12281086</v>
      </c>
    </row>
    <row r="1281" spans="1:6" ht="12.75">
      <c r="A1281" s="153" t="s">
        <v>101</v>
      </c>
      <c r="B1281" s="167">
        <f t="shared" si="20"/>
        <v>2354.9742536</v>
      </c>
      <c r="C1281" s="157">
        <f>0.0644*C1234</f>
        <v>232.40993999999998</v>
      </c>
      <c r="D1281" s="12">
        <v>200</v>
      </c>
      <c r="E1281" s="12">
        <f>0.10264*E1234</f>
        <v>370.41236399999997</v>
      </c>
      <c r="F1281" s="12">
        <f>0.430096*F1234</f>
        <v>1552.1519495999999</v>
      </c>
    </row>
    <row r="1282" spans="1:6" ht="33.75">
      <c r="A1282" s="161" t="s">
        <v>21</v>
      </c>
      <c r="B1282" s="166">
        <f t="shared" si="20"/>
        <v>624386.98593823</v>
      </c>
      <c r="C1282" s="157">
        <f>C1250+C1273+C1280+C1281</f>
        <v>90341.39753464998</v>
      </c>
      <c r="D1282" s="157">
        <f>D1250+D1273+D1280+D1281</f>
        <v>189271.88446362</v>
      </c>
      <c r="E1282" s="157">
        <f>E1250+E1273+E1280</f>
        <v>180488.10512385002</v>
      </c>
      <c r="F1282" s="157">
        <f>F1250+F1273+F1280+F1281</f>
        <v>164285.59881610997</v>
      </c>
    </row>
    <row r="1283" spans="1:6" ht="45">
      <c r="A1283" s="161" t="s">
        <v>22</v>
      </c>
      <c r="B1283" s="162">
        <f>B1282/12/C1234</f>
        <v>14.417958304774604</v>
      </c>
      <c r="C1283" s="14">
        <f>C1282/C1234/3</f>
        <v>8.344430823729626</v>
      </c>
      <c r="D1283" s="14">
        <f>D1282/3/C1234</f>
        <v>17.482197418717874</v>
      </c>
      <c r="E1283" s="14">
        <f>E1282/3/C1234</f>
        <v>16.670879007980385</v>
      </c>
      <c r="F1283" s="14">
        <f>F1282/3/C1234</f>
        <v>15.174325968670534</v>
      </c>
    </row>
    <row r="1284" spans="1:6" ht="12.75">
      <c r="A1284" s="163" t="s">
        <v>34</v>
      </c>
      <c r="B1284" s="164">
        <f>B1238-B1282</f>
        <v>-214797.55593823</v>
      </c>
      <c r="C1284" s="165">
        <f>C1238-C1282</f>
        <v>-1363.0875346499815</v>
      </c>
      <c r="D1284" s="165">
        <f>D1238-D1282-1363</f>
        <v>-74392.55446362</v>
      </c>
      <c r="E1284" s="165">
        <f>E1238-E1282-74393</f>
        <v>-152309.41512385002</v>
      </c>
      <c r="F1284" s="165">
        <f>F1238-F1282-152309</f>
        <v>-214797.49881610996</v>
      </c>
    </row>
    <row r="1285" spans="1:6" ht="12.75">
      <c r="A1285" s="29" t="s">
        <v>44</v>
      </c>
      <c r="B1285" s="29"/>
      <c r="C1285" s="29"/>
      <c r="D1285" s="29"/>
      <c r="E1285" s="29"/>
      <c r="F1285" s="29"/>
    </row>
    <row r="1286" spans="1:6" ht="12.75">
      <c r="A1286" s="29" t="s">
        <v>45</v>
      </c>
      <c r="B1286" s="29"/>
      <c r="C1286" s="29"/>
      <c r="D1286" s="29"/>
      <c r="E1286" s="29"/>
      <c r="F1286" s="29"/>
    </row>
    <row r="1287" spans="1:6" ht="12.75">
      <c r="A1287" s="29" t="s">
        <v>579</v>
      </c>
      <c r="B1287" s="29"/>
      <c r="C1287" s="29"/>
      <c r="D1287" s="29"/>
      <c r="E1287" s="29"/>
      <c r="F1287" s="29"/>
    </row>
    <row r="1288" spans="1:6" ht="296.25" customHeight="1">
      <c r="A1288" s="29"/>
      <c r="B1288" s="29"/>
      <c r="C1288" s="29"/>
      <c r="D1288" s="29"/>
      <c r="E1288" s="29"/>
      <c r="F1288" s="29"/>
    </row>
    <row r="1289" spans="1:6" ht="12.75">
      <c r="A1289" s="120" t="s">
        <v>35</v>
      </c>
      <c r="B1289" s="120"/>
      <c r="C1289" s="29"/>
      <c r="D1289" s="29"/>
      <c r="E1289" s="29"/>
      <c r="F1289" s="29"/>
    </row>
    <row r="1290" spans="1:6" ht="12.75">
      <c r="A1290" s="29" t="s">
        <v>616</v>
      </c>
      <c r="B1290" s="29"/>
      <c r="C1290" s="29"/>
      <c r="D1290" s="29"/>
      <c r="E1290" s="29"/>
      <c r="F1290" s="29"/>
    </row>
    <row r="1291" spans="1:6" ht="12.75">
      <c r="A1291" s="29" t="s">
        <v>224</v>
      </c>
      <c r="B1291" s="29"/>
      <c r="C1291" s="29"/>
      <c r="D1291" s="29"/>
      <c r="E1291" s="29"/>
      <c r="F1291" s="29"/>
    </row>
    <row r="1292" spans="1:6" ht="12.75">
      <c r="A1292" s="29" t="s">
        <v>604</v>
      </c>
      <c r="B1292" s="29"/>
      <c r="C1292" s="29"/>
      <c r="D1292" s="29"/>
      <c r="E1292" s="29" t="s">
        <v>340</v>
      </c>
      <c r="F1292" s="29"/>
    </row>
    <row r="1293" spans="1:6" ht="12.75">
      <c r="A1293" s="10" t="s">
        <v>1</v>
      </c>
      <c r="B1293" s="10" t="s">
        <v>11</v>
      </c>
      <c r="C1293" s="10" t="s">
        <v>86</v>
      </c>
      <c r="D1293" s="10" t="s">
        <v>87</v>
      </c>
      <c r="E1293" s="10" t="s">
        <v>120</v>
      </c>
      <c r="F1293" s="10" t="s">
        <v>141</v>
      </c>
    </row>
    <row r="1294" spans="1:6" ht="12.75">
      <c r="A1294" s="22" t="s">
        <v>6</v>
      </c>
      <c r="B1294" s="22"/>
      <c r="C1294" s="10"/>
      <c r="D1294" s="5"/>
      <c r="E1294" s="5"/>
      <c r="F1294" s="5"/>
    </row>
    <row r="1295" spans="1:6" ht="12.75">
      <c r="A1295" s="5" t="s">
        <v>2</v>
      </c>
      <c r="B1295" s="5"/>
      <c r="C1295" s="10">
        <v>5</v>
      </c>
      <c r="D1295" s="5"/>
      <c r="E1295" s="5"/>
      <c r="F1295" s="5"/>
    </row>
    <row r="1296" spans="1:6" ht="12.75">
      <c r="A1296" s="5" t="s">
        <v>3</v>
      </c>
      <c r="B1296" s="5"/>
      <c r="C1296" s="10">
        <v>6</v>
      </c>
      <c r="D1296" s="5"/>
      <c r="E1296" s="5"/>
      <c r="F1296" s="5"/>
    </row>
    <row r="1297" spans="1:6" ht="12.75">
      <c r="A1297" s="5" t="s">
        <v>4</v>
      </c>
      <c r="B1297" s="5"/>
      <c r="C1297" s="10">
        <v>61</v>
      </c>
      <c r="D1297" s="5"/>
      <c r="E1297" s="5"/>
      <c r="F1297" s="5"/>
    </row>
    <row r="1298" spans="1:6" ht="12.75">
      <c r="A1298" s="5" t="s">
        <v>5</v>
      </c>
      <c r="B1298" s="10">
        <v>3608.24</v>
      </c>
      <c r="C1298" s="10">
        <v>3608.24</v>
      </c>
      <c r="D1298" s="10">
        <v>3608.24</v>
      </c>
      <c r="E1298" s="10">
        <v>3608.24</v>
      </c>
      <c r="F1298" s="10">
        <v>3608.24</v>
      </c>
    </row>
    <row r="1299" spans="1:6" ht="22.5">
      <c r="A1299" s="150" t="s">
        <v>7</v>
      </c>
      <c r="B1299" s="150"/>
      <c r="C1299" s="5" t="s">
        <v>36</v>
      </c>
      <c r="D1299" s="5"/>
      <c r="E1299" s="5"/>
      <c r="F1299" s="5"/>
    </row>
    <row r="1300" spans="1:6" ht="22.5">
      <c r="A1300" s="151" t="s">
        <v>8</v>
      </c>
      <c r="B1300" s="6">
        <f>C1300+D1300+E1300+F1300</f>
        <v>380142.94999999995</v>
      </c>
      <c r="C1300" s="10">
        <v>95327.78</v>
      </c>
      <c r="D1300" s="10">
        <v>94150.22</v>
      </c>
      <c r="E1300" s="10">
        <v>87675.92</v>
      </c>
      <c r="F1300" s="5">
        <v>102989.03</v>
      </c>
    </row>
    <row r="1301" spans="1:6" ht="22.5">
      <c r="A1301" s="153" t="s">
        <v>9</v>
      </c>
      <c r="B1301" s="6">
        <f>C1301+D1301+E1301+F1301</f>
        <v>0</v>
      </c>
      <c r="C1301" s="10">
        <v>0</v>
      </c>
      <c r="D1301" s="10">
        <v>0</v>
      </c>
      <c r="E1301" s="10">
        <v>0</v>
      </c>
      <c r="F1301" s="5">
        <v>0</v>
      </c>
    </row>
    <row r="1302" spans="1:6" ht="12.75">
      <c r="A1302" s="5" t="s">
        <v>11</v>
      </c>
      <c r="B1302" s="6">
        <f>C1302+D1302+E1302+F1302</f>
        <v>380142.94999999995</v>
      </c>
      <c r="C1302" s="22">
        <f>C1300+C1301</f>
        <v>95327.78</v>
      </c>
      <c r="D1302" s="22">
        <f>D1300+D1301</f>
        <v>94150.22</v>
      </c>
      <c r="E1302" s="179">
        <f>SUM(E1300:E1301)</f>
        <v>87675.92</v>
      </c>
      <c r="F1302" s="5">
        <f>F1300+F1301</f>
        <v>102989.03</v>
      </c>
    </row>
    <row r="1303" spans="1:6" ht="22.5">
      <c r="A1303" s="150" t="s">
        <v>12</v>
      </c>
      <c r="B1303" s="150"/>
      <c r="C1303" s="5"/>
      <c r="D1303" s="5"/>
      <c r="E1303" s="5"/>
      <c r="F1303" s="5"/>
    </row>
    <row r="1304" spans="1:7" ht="12.75">
      <c r="A1304" s="156" t="s">
        <v>13</v>
      </c>
      <c r="B1304" s="166">
        <f>C1304+D1304+E1304+F1304</f>
        <v>113937.28262455999</v>
      </c>
      <c r="C1304" s="157">
        <f>7.5947*C1298</f>
        <v>27403.500328</v>
      </c>
      <c r="D1304" s="157">
        <f>7.632*C1298</f>
        <v>27538.087679999997</v>
      </c>
      <c r="E1304" s="12">
        <f>8.5526*E1298</f>
        <v>30859.833423999997</v>
      </c>
      <c r="F1304" s="157">
        <f>7.797669*F1298</f>
        <v>28135.861192559998</v>
      </c>
      <c r="G1304" s="8"/>
    </row>
    <row r="1305" spans="1:6" ht="21.75">
      <c r="A1305" s="156" t="s">
        <v>14</v>
      </c>
      <c r="B1305" s="167">
        <f aca="true" t="shared" si="21" ref="B1305:B1346">C1305+D1305+E1305+F1305</f>
        <v>0</v>
      </c>
      <c r="C1305" s="12"/>
      <c r="D1305" s="12"/>
      <c r="E1305" s="12"/>
      <c r="F1305" s="12"/>
    </row>
    <row r="1306" spans="1:6" ht="12.75">
      <c r="A1306" s="153" t="s">
        <v>15</v>
      </c>
      <c r="B1306" s="167">
        <f t="shared" si="21"/>
        <v>125862.39</v>
      </c>
      <c r="C1306" s="12">
        <f>C1307+C1309+C1310</f>
        <v>30449.36</v>
      </c>
      <c r="D1306" s="12">
        <f>D1307+D1309+D1310+D1311+D1312+D1313</f>
        <v>29465.230000000003</v>
      </c>
      <c r="E1306" s="12">
        <f>E1307+E1309+E1310+E1311+E1312+E1313</f>
        <v>34900</v>
      </c>
      <c r="F1306" s="12">
        <f>F1307+F1309+F1310+F1311+F1312+F1313</f>
        <v>31047.8</v>
      </c>
    </row>
    <row r="1307" spans="1:6" ht="12.75">
      <c r="A1307" s="158" t="s">
        <v>16</v>
      </c>
      <c r="B1307" s="167">
        <f t="shared" si="21"/>
        <v>115035</v>
      </c>
      <c r="C1307" s="165">
        <v>27934</v>
      </c>
      <c r="D1307" s="12">
        <v>26128</v>
      </c>
      <c r="E1307" s="12">
        <v>32169</v>
      </c>
      <c r="F1307" s="12">
        <v>28804</v>
      </c>
    </row>
    <row r="1308" spans="1:6" ht="12.75">
      <c r="A1308" s="153" t="s">
        <v>33</v>
      </c>
      <c r="B1308" s="167">
        <f t="shared" si="21"/>
        <v>72801.65</v>
      </c>
      <c r="C1308" s="165">
        <v>16086.65</v>
      </c>
      <c r="D1308" s="12">
        <v>17295</v>
      </c>
      <c r="E1308" s="12">
        <v>19710</v>
      </c>
      <c r="F1308" s="12">
        <v>19710</v>
      </c>
    </row>
    <row r="1309" spans="1:6" ht="12.75">
      <c r="A1309" s="153" t="s">
        <v>24</v>
      </c>
      <c r="B1309" s="167">
        <f t="shared" si="21"/>
        <v>2117.0699999999997</v>
      </c>
      <c r="C1309" s="12">
        <v>211.94</v>
      </c>
      <c r="D1309" s="12">
        <v>508.83</v>
      </c>
      <c r="E1309" s="12">
        <v>686.5</v>
      </c>
      <c r="F1309" s="12">
        <v>709.8</v>
      </c>
    </row>
    <row r="1310" spans="1:6" ht="12.75">
      <c r="A1310" s="153" t="s">
        <v>17</v>
      </c>
      <c r="B1310" s="167">
        <f t="shared" si="21"/>
        <v>4336.42</v>
      </c>
      <c r="C1310" s="12">
        <v>2303.42</v>
      </c>
      <c r="D1310" s="12"/>
      <c r="E1310" s="12">
        <v>1407</v>
      </c>
      <c r="F1310" s="12">
        <v>626</v>
      </c>
    </row>
    <row r="1311" spans="1:6" ht="12.75">
      <c r="A1311" s="153" t="s">
        <v>40</v>
      </c>
      <c r="B1311" s="167">
        <f t="shared" si="21"/>
        <v>375</v>
      </c>
      <c r="C1311" s="12"/>
      <c r="D1311" s="12"/>
      <c r="E1311" s="12">
        <v>375</v>
      </c>
      <c r="F1311" s="12"/>
    </row>
    <row r="1312" spans="1:6" ht="12.75">
      <c r="A1312" s="153" t="s">
        <v>88</v>
      </c>
      <c r="B1312" s="167">
        <f t="shared" si="21"/>
        <v>559.9</v>
      </c>
      <c r="C1312" s="12"/>
      <c r="D1312" s="12">
        <v>297.4</v>
      </c>
      <c r="E1312" s="12">
        <v>262.5</v>
      </c>
      <c r="F1312" s="12"/>
    </row>
    <row r="1313" spans="1:6" ht="12.75">
      <c r="A1313" s="153" t="s">
        <v>498</v>
      </c>
      <c r="B1313" s="167">
        <f t="shared" si="21"/>
        <v>3439</v>
      </c>
      <c r="C1313" s="12"/>
      <c r="D1313" s="12">
        <v>2531</v>
      </c>
      <c r="E1313" s="12"/>
      <c r="F1313" s="12">
        <v>908</v>
      </c>
    </row>
    <row r="1314" spans="1:6" ht="12.75">
      <c r="A1314" s="155" t="s">
        <v>11</v>
      </c>
      <c r="B1314" s="167">
        <f t="shared" si="21"/>
        <v>239799.67262455996</v>
      </c>
      <c r="C1314" s="157">
        <f>C1304+C1306</f>
        <v>57852.860327999995</v>
      </c>
      <c r="D1314" s="157">
        <f>D1304+D1306</f>
        <v>57003.31768</v>
      </c>
      <c r="E1314" s="157">
        <f>E1304+E1306</f>
        <v>65759.833424</v>
      </c>
      <c r="F1314" s="12">
        <f>F1304+F1306</f>
        <v>59183.66119256</v>
      </c>
    </row>
    <row r="1315" spans="1:6" ht="21.75">
      <c r="A1315" s="159" t="s">
        <v>18</v>
      </c>
      <c r="B1315" s="167">
        <f t="shared" si="21"/>
        <v>0</v>
      </c>
      <c r="C1315" s="12"/>
      <c r="D1315" s="12"/>
      <c r="E1315" s="12"/>
      <c r="F1315" s="12"/>
    </row>
    <row r="1316" spans="1:6" ht="12.75">
      <c r="A1316" s="153" t="s">
        <v>23</v>
      </c>
      <c r="B1316" s="167">
        <f t="shared" si="21"/>
        <v>88483.787048</v>
      </c>
      <c r="C1316" s="175">
        <f>5.3352*C1298</f>
        <v>19250.682048</v>
      </c>
      <c r="D1316" s="157">
        <f>6.1735*C1298</f>
        <v>22275.46964</v>
      </c>
      <c r="E1316" s="12">
        <f>6.4099*E1298</f>
        <v>23128.457576</v>
      </c>
      <c r="F1316" s="12">
        <f>6.6041*F1298</f>
        <v>23829.177784</v>
      </c>
    </row>
    <row r="1317" spans="1:6" ht="12.75">
      <c r="A1317" s="153" t="s">
        <v>500</v>
      </c>
      <c r="B1317" s="167">
        <f t="shared" si="21"/>
        <v>19922</v>
      </c>
      <c r="C1317" s="12"/>
      <c r="D1317" s="12"/>
      <c r="E1317" s="12">
        <v>5355</v>
      </c>
      <c r="F1317" s="12">
        <v>14567</v>
      </c>
    </row>
    <row r="1318" spans="1:6" ht="12.75">
      <c r="A1318" s="153" t="s">
        <v>100</v>
      </c>
      <c r="B1318" s="167">
        <f t="shared" si="21"/>
        <v>0</v>
      </c>
      <c r="C1318" s="12"/>
      <c r="D1318" s="12"/>
      <c r="E1318" s="12"/>
      <c r="F1318" s="12"/>
    </row>
    <row r="1319" spans="1:7" ht="12.75">
      <c r="A1319" s="153" t="s">
        <v>396</v>
      </c>
      <c r="B1319" s="167">
        <f t="shared" si="21"/>
        <v>34707</v>
      </c>
      <c r="C1319" s="12">
        <v>12427</v>
      </c>
      <c r="D1319" s="12">
        <v>860</v>
      </c>
      <c r="E1319" s="12">
        <v>18507</v>
      </c>
      <c r="F1319" s="30">
        <v>2913</v>
      </c>
      <c r="G1319" s="119"/>
    </row>
    <row r="1320" spans="1:6" ht="12.75">
      <c r="A1320" s="153" t="s">
        <v>28</v>
      </c>
      <c r="B1320" s="167">
        <f t="shared" si="21"/>
        <v>0</v>
      </c>
      <c r="C1320" s="12"/>
      <c r="D1320" s="12"/>
      <c r="E1320" s="12"/>
      <c r="F1320" s="12"/>
    </row>
    <row r="1321" spans="1:6" ht="12.75">
      <c r="A1321" s="153" t="s">
        <v>41</v>
      </c>
      <c r="B1321" s="167">
        <f t="shared" si="21"/>
        <v>4714</v>
      </c>
      <c r="C1321" s="12"/>
      <c r="D1321" s="12">
        <v>1114</v>
      </c>
      <c r="E1321" s="12">
        <v>3600</v>
      </c>
      <c r="F1321" s="12"/>
    </row>
    <row r="1322" spans="1:6" ht="12.75">
      <c r="A1322" s="153" t="s">
        <v>50</v>
      </c>
      <c r="B1322" s="167">
        <f t="shared" si="21"/>
        <v>8950</v>
      </c>
      <c r="C1322" s="12"/>
      <c r="D1322" s="12">
        <v>8025</v>
      </c>
      <c r="E1322" s="12"/>
      <c r="F1322" s="12">
        <v>925</v>
      </c>
    </row>
    <row r="1323" spans="1:6" ht="12.75">
      <c r="A1323" s="153" t="s">
        <v>52</v>
      </c>
      <c r="B1323" s="167">
        <f t="shared" si="21"/>
        <v>5948</v>
      </c>
      <c r="C1323" s="12">
        <v>5948</v>
      </c>
      <c r="D1323" s="12"/>
      <c r="E1323" s="12"/>
      <c r="F1323" s="12"/>
    </row>
    <row r="1324" spans="1:6" ht="22.5">
      <c r="A1324" s="153" t="s">
        <v>225</v>
      </c>
      <c r="B1324" s="167">
        <f t="shared" si="21"/>
        <v>3854.9500000000003</v>
      </c>
      <c r="C1324" s="12">
        <v>517.15</v>
      </c>
      <c r="D1324" s="12">
        <v>3337.8</v>
      </c>
      <c r="E1324" s="12"/>
      <c r="F1324" s="12"/>
    </row>
    <row r="1325" spans="1:6" ht="12.75">
      <c r="A1325" s="153" t="s">
        <v>27</v>
      </c>
      <c r="B1325" s="167">
        <f t="shared" si="21"/>
        <v>0</v>
      </c>
      <c r="C1325" s="12"/>
      <c r="D1325" s="12"/>
      <c r="E1325" s="12"/>
      <c r="F1325" s="12"/>
    </row>
    <row r="1326" spans="1:6" ht="12.75">
      <c r="A1326" s="153" t="s">
        <v>395</v>
      </c>
      <c r="B1326" s="167">
        <f t="shared" si="21"/>
        <v>3669</v>
      </c>
      <c r="C1326" s="12"/>
      <c r="D1326" s="12"/>
      <c r="E1326" s="12">
        <v>3669</v>
      </c>
      <c r="F1326" s="12"/>
    </row>
    <row r="1327" spans="1:6" ht="12.75">
      <c r="A1327" s="153" t="s">
        <v>499</v>
      </c>
      <c r="B1327" s="167">
        <f t="shared" si="21"/>
        <v>42160</v>
      </c>
      <c r="C1327" s="12"/>
      <c r="D1327" s="12"/>
      <c r="E1327" s="12"/>
      <c r="F1327" s="12">
        <v>42160</v>
      </c>
    </row>
    <row r="1328" spans="1:6" ht="12.75">
      <c r="A1328" s="153" t="s">
        <v>47</v>
      </c>
      <c r="B1328" s="167">
        <f t="shared" si="21"/>
        <v>480</v>
      </c>
      <c r="C1328" s="12"/>
      <c r="D1328" s="12"/>
      <c r="E1328" s="12"/>
      <c r="F1328" s="12">
        <v>480</v>
      </c>
    </row>
    <row r="1329" spans="1:6" ht="22.5">
      <c r="A1329" s="153" t="s">
        <v>61</v>
      </c>
      <c r="B1329" s="167">
        <f t="shared" si="21"/>
        <v>0</v>
      </c>
      <c r="C1329" s="12"/>
      <c r="D1329" s="12"/>
      <c r="E1329" s="12"/>
      <c r="F1329" s="12"/>
    </row>
    <row r="1330" spans="1:6" ht="12.75">
      <c r="A1330" s="153" t="s">
        <v>497</v>
      </c>
      <c r="B1330" s="167">
        <f t="shared" si="21"/>
        <v>0</v>
      </c>
      <c r="C1330" s="12"/>
      <c r="D1330" s="12"/>
      <c r="E1330" s="12"/>
      <c r="F1330" s="30">
        <v>0</v>
      </c>
    </row>
    <row r="1331" spans="1:6" ht="12.75">
      <c r="A1331" s="153" t="s">
        <v>150</v>
      </c>
      <c r="B1331" s="167">
        <f t="shared" si="21"/>
        <v>55</v>
      </c>
      <c r="C1331" s="12"/>
      <c r="D1331" s="12"/>
      <c r="E1331" s="12">
        <v>55</v>
      </c>
      <c r="F1331" s="12"/>
    </row>
    <row r="1332" spans="1:6" ht="12.75">
      <c r="A1332" s="153" t="s">
        <v>453</v>
      </c>
      <c r="B1332" s="167">
        <f t="shared" si="21"/>
        <v>907</v>
      </c>
      <c r="C1332" s="12"/>
      <c r="D1332" s="12"/>
      <c r="E1332" s="12"/>
      <c r="F1332" s="12">
        <v>907</v>
      </c>
    </row>
    <row r="1333" spans="1:6" ht="12.75">
      <c r="A1333" s="153" t="s">
        <v>119</v>
      </c>
      <c r="B1333" s="167">
        <f t="shared" si="21"/>
        <v>0</v>
      </c>
      <c r="C1333" s="12"/>
      <c r="D1333" s="12"/>
      <c r="E1333" s="12"/>
      <c r="F1333" s="12"/>
    </row>
    <row r="1334" spans="1:6" ht="12.75">
      <c r="A1334" s="153" t="s">
        <v>130</v>
      </c>
      <c r="B1334" s="167">
        <f t="shared" si="21"/>
        <v>0</v>
      </c>
      <c r="C1334" s="12"/>
      <c r="D1334" s="12"/>
      <c r="E1334" s="12"/>
      <c r="F1334" s="12"/>
    </row>
    <row r="1335" spans="1:6" ht="12.75">
      <c r="A1335" s="153" t="s">
        <v>232</v>
      </c>
      <c r="B1335" s="167">
        <f t="shared" si="21"/>
        <v>17</v>
      </c>
      <c r="C1335" s="12">
        <v>17</v>
      </c>
      <c r="D1335" s="12"/>
      <c r="E1335" s="12"/>
      <c r="F1335" s="12"/>
    </row>
    <row r="1336" spans="1:6" ht="22.5">
      <c r="A1336" s="153" t="s">
        <v>457</v>
      </c>
      <c r="B1336" s="167">
        <f t="shared" si="21"/>
        <v>11400</v>
      </c>
      <c r="C1336" s="12"/>
      <c r="D1336" s="12"/>
      <c r="E1336" s="12"/>
      <c r="F1336" s="12">
        <v>11400</v>
      </c>
    </row>
    <row r="1337" spans="1:6" ht="12.75">
      <c r="A1337" s="155" t="s">
        <v>11</v>
      </c>
      <c r="B1337" s="167">
        <f t="shared" si="21"/>
        <v>225267.73704799998</v>
      </c>
      <c r="C1337" s="157">
        <f>C1316+C1317+C1318+C1319+C1320++C1321+C1322+C1323+C1324+C1325+C1326+C1327+C1328+C1329+C1330+C1331+C1332+C1333+C1334+C1335+C1336</f>
        <v>38159.832048000004</v>
      </c>
      <c r="D1337" s="157">
        <f>SUM(D1316:D1336)</f>
        <v>35612.26964</v>
      </c>
      <c r="E1337" s="157">
        <f>SUM(E1316:E1336)</f>
        <v>54314.457576</v>
      </c>
      <c r="F1337" s="12">
        <f>SUM(F1316:F1336)</f>
        <v>97181.177784</v>
      </c>
    </row>
    <row r="1338" spans="1:6" ht="12.75">
      <c r="A1338" s="155" t="s">
        <v>19</v>
      </c>
      <c r="B1338" s="167">
        <f t="shared" si="21"/>
        <v>0</v>
      </c>
      <c r="C1338" s="12"/>
      <c r="D1338" s="12"/>
      <c r="E1338" s="12"/>
      <c r="F1338" s="12"/>
    </row>
    <row r="1339" spans="1:6" ht="12.75">
      <c r="A1339" s="153" t="s">
        <v>38</v>
      </c>
      <c r="B1339" s="167">
        <f t="shared" si="21"/>
        <v>3033.20561592</v>
      </c>
      <c r="C1339" s="12">
        <f>0.218666*C1298</f>
        <v>788.99940784</v>
      </c>
      <c r="D1339" s="12">
        <f>0.210458*C1298</f>
        <v>759.3829739199999</v>
      </c>
      <c r="E1339" s="12">
        <f>0.167241*E1298</f>
        <v>603.44566584</v>
      </c>
      <c r="F1339" s="12">
        <f>0.244268*F1298</f>
        <v>881.37756832</v>
      </c>
    </row>
    <row r="1340" spans="1:6" ht="12.75">
      <c r="A1340" s="153" t="s">
        <v>39</v>
      </c>
      <c r="B1340" s="167">
        <f t="shared" si="21"/>
        <v>6014.64381256</v>
      </c>
      <c r="C1340" s="12">
        <f>0.306583*C1298</f>
        <v>1106.22504392</v>
      </c>
      <c r="D1340" s="12">
        <f>0.0733554*C1298</f>
        <v>264.683888496</v>
      </c>
      <c r="E1340" s="12">
        <f>0.536065*E1298</f>
        <v>1934.2511756</v>
      </c>
      <c r="F1340" s="12">
        <f>0.7509156*F1298</f>
        <v>2709.483704544</v>
      </c>
    </row>
    <row r="1341" spans="1:6" ht="12.75">
      <c r="A1341" s="153" t="s">
        <v>32</v>
      </c>
      <c r="B1341" s="167">
        <f t="shared" si="21"/>
        <v>0</v>
      </c>
      <c r="C1341" s="12"/>
      <c r="D1341" s="12"/>
      <c r="E1341" s="12"/>
      <c r="F1341" s="12"/>
    </row>
    <row r="1342" spans="1:6" ht="12.75">
      <c r="A1342" s="153" t="s">
        <v>37</v>
      </c>
      <c r="B1342" s="167">
        <f t="shared" si="21"/>
        <v>7769.820923551999</v>
      </c>
      <c r="C1342" s="12">
        <f>0.70476*C1298</f>
        <v>2542.9432224</v>
      </c>
      <c r="D1342" s="12">
        <f>0.3731258*C1298</f>
        <v>1346.327436592</v>
      </c>
      <c r="E1342" s="12">
        <f>0.553205*E1298</f>
        <v>1996.0964091999997</v>
      </c>
      <c r="F1342" s="12">
        <f>0.522264*F1298</f>
        <v>1884.4538553599998</v>
      </c>
    </row>
    <row r="1343" spans="1:6" ht="12.75">
      <c r="A1343" s="153" t="s">
        <v>20</v>
      </c>
      <c r="B1343" s="167">
        <f t="shared" si="21"/>
        <v>2873.34254272</v>
      </c>
      <c r="C1343" s="12"/>
      <c r="D1343" s="12">
        <f>0.158142*C1298</f>
        <v>570.6142900799999</v>
      </c>
      <c r="E1343" s="12">
        <f>0.60489*E1298</f>
        <v>2182.5882936</v>
      </c>
      <c r="F1343" s="12">
        <f>0.033296*F1298</f>
        <v>120.13995904</v>
      </c>
    </row>
    <row r="1344" spans="1:6" ht="12.75">
      <c r="A1344" s="156" t="s">
        <v>11</v>
      </c>
      <c r="B1344" s="167">
        <f t="shared" si="21"/>
        <v>19691.012894752</v>
      </c>
      <c r="C1344" s="157">
        <f>C1339+C1340+C1341+C1342+C1343</f>
        <v>4438.16767416</v>
      </c>
      <c r="D1344" s="157">
        <f>SUM(D1339:D1343)</f>
        <v>2941.0085890879996</v>
      </c>
      <c r="E1344" s="12">
        <f>SUM(E1339:E1343)</f>
        <v>6716.381544239999</v>
      </c>
      <c r="F1344" s="12">
        <f>SUM(F1339:F1343)</f>
        <v>5595.455087263999</v>
      </c>
    </row>
    <row r="1345" spans="1:6" ht="12.75">
      <c r="A1345" s="153" t="s">
        <v>101</v>
      </c>
      <c r="B1345" s="167">
        <f t="shared" si="21"/>
        <v>2354.6100006399997</v>
      </c>
      <c r="C1345" s="157">
        <f>0.0644*C1298</f>
        <v>232.37065599999997</v>
      </c>
      <c r="D1345" s="157">
        <v>200</v>
      </c>
      <c r="E1345" s="12">
        <f>0.10264*E1298</f>
        <v>370.3497536</v>
      </c>
      <c r="F1345" s="12">
        <f>0.430096*F1298</f>
        <v>1551.88959104</v>
      </c>
    </row>
    <row r="1346" spans="1:6" ht="33.75">
      <c r="A1346" s="161" t="s">
        <v>21</v>
      </c>
      <c r="B1346" s="167">
        <f t="shared" si="21"/>
        <v>486742.682814352</v>
      </c>
      <c r="C1346" s="157">
        <f>C1314+C1337+C1344+C1345</f>
        <v>100683.23070615999</v>
      </c>
      <c r="D1346" s="12">
        <f>D1314+D1337+D1344+D1345</f>
        <v>95756.59590908799</v>
      </c>
      <c r="E1346" s="12">
        <f>E1314+E1337+E1344</f>
        <v>126790.67254423999</v>
      </c>
      <c r="F1346" s="12">
        <f>F1314+F1337+F1344+F1345</f>
        <v>163512.183654864</v>
      </c>
    </row>
    <row r="1347" spans="1:6" ht="45">
      <c r="A1347" s="161" t="s">
        <v>22</v>
      </c>
      <c r="B1347" s="162">
        <f>B1346/12/C1298</f>
        <v>11.241461276004184</v>
      </c>
      <c r="C1347" s="14">
        <f>C1346/C1298/3</f>
        <v>9.301231875388924</v>
      </c>
      <c r="D1347" s="14">
        <f>D1346/3/C1298</f>
        <v>8.846103724538649</v>
      </c>
      <c r="E1347" s="14">
        <f>E1346/C1298/3</f>
        <v>11.713067178110842</v>
      </c>
      <c r="F1347" s="14">
        <f>F1346/3/C1298</f>
        <v>15.105442325978316</v>
      </c>
    </row>
    <row r="1348" spans="1:6" ht="12.75">
      <c r="A1348" s="163" t="s">
        <v>34</v>
      </c>
      <c r="B1348" s="164">
        <f>B1302-B1346</f>
        <v>-106599.73281435203</v>
      </c>
      <c r="C1348" s="165">
        <f>C1302-C1346</f>
        <v>-5355.450706159987</v>
      </c>
      <c r="D1348" s="165">
        <f>D1302-D1346-5356</f>
        <v>-6962.37590908799</v>
      </c>
      <c r="E1348" s="165">
        <f>E1302-E1346-6962</f>
        <v>-46076.75254423999</v>
      </c>
      <c r="F1348" s="165">
        <f>F1302-F1346-46077</f>
        <v>-106600.153654864</v>
      </c>
    </row>
    <row r="1349" spans="1:6" ht="12.75">
      <c r="A1349" s="29" t="s">
        <v>44</v>
      </c>
      <c r="B1349" s="29"/>
      <c r="C1349" s="29"/>
      <c r="D1349" s="29"/>
      <c r="E1349" s="29"/>
      <c r="F1349" s="29"/>
    </row>
    <row r="1350" spans="1:6" ht="12.75">
      <c r="A1350" s="29" t="s">
        <v>45</v>
      </c>
      <c r="B1350" s="29"/>
      <c r="C1350" s="29"/>
      <c r="D1350" s="29"/>
      <c r="E1350" s="29"/>
      <c r="F1350" s="29"/>
    </row>
    <row r="1351" spans="1:6" ht="12.75">
      <c r="A1351" s="29" t="s">
        <v>579</v>
      </c>
      <c r="B1351" s="29"/>
      <c r="C1351" s="29"/>
      <c r="D1351" s="29"/>
      <c r="E1351" s="29"/>
      <c r="F1351" s="29"/>
    </row>
    <row r="1352" spans="1:6" ht="300" customHeight="1">
      <c r="A1352" s="29"/>
      <c r="B1352" s="29"/>
      <c r="C1352" s="29"/>
      <c r="D1352" s="29"/>
      <c r="E1352" s="29"/>
      <c r="F1352" s="29"/>
    </row>
    <row r="1353" spans="1:6" ht="12.75">
      <c r="A1353" s="120" t="s">
        <v>35</v>
      </c>
      <c r="B1353" s="120"/>
      <c r="C1353" s="29"/>
      <c r="D1353" s="29"/>
      <c r="E1353" s="29"/>
      <c r="F1353" s="29"/>
    </row>
    <row r="1354" spans="1:6" ht="12.75">
      <c r="A1354" s="29" t="s">
        <v>616</v>
      </c>
      <c r="B1354" s="29"/>
      <c r="C1354" s="29"/>
      <c r="D1354" s="29"/>
      <c r="E1354" s="29"/>
      <c r="F1354" s="29"/>
    </row>
    <row r="1355" spans="1:6" ht="12.75">
      <c r="A1355" s="29" t="s">
        <v>224</v>
      </c>
      <c r="B1355" s="29"/>
      <c r="C1355" s="29"/>
      <c r="D1355" s="29"/>
      <c r="E1355" s="29"/>
      <c r="F1355" s="29"/>
    </row>
    <row r="1356" spans="1:6" ht="12.75">
      <c r="A1356" s="29" t="s">
        <v>605</v>
      </c>
      <c r="B1356" s="29"/>
      <c r="C1356" s="29"/>
      <c r="D1356" s="29"/>
      <c r="E1356" s="29" t="s">
        <v>340</v>
      </c>
      <c r="F1356" s="29"/>
    </row>
    <row r="1357" spans="1:6" ht="12.75">
      <c r="A1357" s="10" t="s">
        <v>1</v>
      </c>
      <c r="B1357" s="10" t="s">
        <v>11</v>
      </c>
      <c r="C1357" s="10" t="s">
        <v>86</v>
      </c>
      <c r="D1357" s="10" t="s">
        <v>87</v>
      </c>
      <c r="E1357" s="10" t="s">
        <v>120</v>
      </c>
      <c r="F1357" s="10" t="s">
        <v>141</v>
      </c>
    </row>
    <row r="1358" spans="1:6" ht="12.75">
      <c r="A1358" s="22" t="s">
        <v>6</v>
      </c>
      <c r="B1358" s="22"/>
      <c r="C1358" s="10"/>
      <c r="D1358" s="5"/>
      <c r="E1358" s="5"/>
      <c r="F1358" s="5"/>
    </row>
    <row r="1359" spans="1:6" ht="12.75">
      <c r="A1359" s="5" t="s">
        <v>2</v>
      </c>
      <c r="B1359" s="5"/>
      <c r="C1359" s="10">
        <v>5</v>
      </c>
      <c r="D1359" s="5"/>
      <c r="E1359" s="5"/>
      <c r="F1359" s="5"/>
    </row>
    <row r="1360" spans="1:6" ht="12.75">
      <c r="A1360" s="5" t="s">
        <v>3</v>
      </c>
      <c r="B1360" s="5"/>
      <c r="C1360" s="10">
        <v>4</v>
      </c>
      <c r="D1360" s="5"/>
      <c r="E1360" s="5"/>
      <c r="F1360" s="5"/>
    </row>
    <row r="1361" spans="1:6" ht="12.75">
      <c r="A1361" s="5" t="s">
        <v>4</v>
      </c>
      <c r="B1361" s="5"/>
      <c r="C1361" s="10">
        <v>57</v>
      </c>
      <c r="D1361" s="5"/>
      <c r="E1361" s="5"/>
      <c r="F1361" s="5"/>
    </row>
    <row r="1362" spans="1:6" ht="12.75">
      <c r="A1362" s="5" t="s">
        <v>5</v>
      </c>
      <c r="B1362" s="10">
        <v>2527.69</v>
      </c>
      <c r="C1362" s="10">
        <v>2527.69</v>
      </c>
      <c r="D1362" s="10">
        <v>2527.69</v>
      </c>
      <c r="E1362" s="10">
        <v>2527.69</v>
      </c>
      <c r="F1362" s="10">
        <v>2527.69</v>
      </c>
    </row>
    <row r="1363" spans="1:6" ht="22.5">
      <c r="A1363" s="150" t="s">
        <v>7</v>
      </c>
      <c r="B1363" s="150"/>
      <c r="C1363" s="5" t="s">
        <v>36</v>
      </c>
      <c r="D1363" s="5"/>
      <c r="E1363" s="5"/>
      <c r="F1363" s="5"/>
    </row>
    <row r="1364" spans="1:6" ht="22.5">
      <c r="A1364" s="151" t="s">
        <v>8</v>
      </c>
      <c r="B1364" s="6">
        <f>C1364+D1364+E1364+F1364</f>
        <v>272612.93999999994</v>
      </c>
      <c r="C1364" s="10">
        <v>63301.27</v>
      </c>
      <c r="D1364" s="10">
        <v>74190.4</v>
      </c>
      <c r="E1364" s="10">
        <v>66139.73</v>
      </c>
      <c r="F1364" s="10">
        <v>68981.54</v>
      </c>
    </row>
    <row r="1365" spans="1:6" ht="22.5">
      <c r="A1365" s="153" t="s">
        <v>9</v>
      </c>
      <c r="B1365" s="6">
        <f>C1365+D1365+E1365+F1365</f>
        <v>0</v>
      </c>
      <c r="C1365" s="10">
        <v>0</v>
      </c>
      <c r="D1365" s="10">
        <v>0</v>
      </c>
      <c r="E1365" s="10">
        <v>0</v>
      </c>
      <c r="F1365" s="10">
        <v>0</v>
      </c>
    </row>
    <row r="1366" spans="1:6" ht="12.75">
      <c r="A1366" s="5" t="s">
        <v>11</v>
      </c>
      <c r="B1366" s="150">
        <f>C1366+D1366+E1366+F1366</f>
        <v>272612.93999999994</v>
      </c>
      <c r="C1366" s="22">
        <f>C1364+C1365</f>
        <v>63301.27</v>
      </c>
      <c r="D1366" s="22">
        <f>SUM(D1364:D1365)</f>
        <v>74190.4</v>
      </c>
      <c r="E1366" s="22">
        <f>SUM(E1364:E1365)</f>
        <v>66139.73</v>
      </c>
      <c r="F1366" s="22">
        <f>SUM(F1364:F1365)</f>
        <v>68981.54</v>
      </c>
    </row>
    <row r="1367" spans="1:6" ht="22.5">
      <c r="A1367" s="150" t="s">
        <v>12</v>
      </c>
      <c r="B1367" s="150"/>
      <c r="C1367" s="5"/>
      <c r="D1367" s="5"/>
      <c r="E1367" s="5"/>
      <c r="F1367" s="5"/>
    </row>
    <row r="1368" spans="1:7" ht="12.75">
      <c r="A1368" s="156" t="s">
        <v>13</v>
      </c>
      <c r="B1368" s="166">
        <f>C1368+D1368+E1368+F1368</f>
        <v>79816.78877161</v>
      </c>
      <c r="C1368" s="157">
        <f>7.5947*C1362</f>
        <v>19197.047243</v>
      </c>
      <c r="D1368" s="157">
        <f>7.632*C1362</f>
        <v>19291.33008</v>
      </c>
      <c r="E1368" s="157">
        <f>8.5526*E1362</f>
        <v>21618.321494</v>
      </c>
      <c r="F1368" s="157">
        <f>7.797669*F1362</f>
        <v>19710.08995461</v>
      </c>
      <c r="G1368" s="8"/>
    </row>
    <row r="1369" spans="1:6" ht="21.75">
      <c r="A1369" s="156" t="s">
        <v>14</v>
      </c>
      <c r="B1369" s="167">
        <f>C1369+D1369+E1369+F1369</f>
        <v>0</v>
      </c>
      <c r="C1369" s="12"/>
      <c r="D1369" s="12"/>
      <c r="E1369" s="12"/>
      <c r="F1369" s="12"/>
    </row>
    <row r="1370" spans="1:6" ht="12.75">
      <c r="A1370" s="153" t="s">
        <v>15</v>
      </c>
      <c r="B1370" s="167">
        <f>C1370+D1370+E1370+F1370</f>
        <v>108706.11</v>
      </c>
      <c r="C1370" s="12">
        <f>C1371+C1373</f>
        <v>24197.95</v>
      </c>
      <c r="D1370" s="12">
        <f>D1371+D1373+D1374+D1375+D1376+D1377</f>
        <v>25843.41</v>
      </c>
      <c r="E1370" s="12">
        <f>E1371+E1373+E1374+E1375+E1376+E1377</f>
        <v>30852.5</v>
      </c>
      <c r="F1370" s="12">
        <f>F1371+F1373+F1374+F1375+F1376+F1377</f>
        <v>27812.25</v>
      </c>
    </row>
    <row r="1371" spans="1:6" ht="12.75">
      <c r="A1371" s="158" t="s">
        <v>16</v>
      </c>
      <c r="B1371" s="167">
        <f aca="true" t="shared" si="22" ref="B1371:B1377">C1371+D1371+E1371+F1371</f>
        <v>99850</v>
      </c>
      <c r="C1371" s="165">
        <v>24037</v>
      </c>
      <c r="D1371" s="12">
        <v>22970</v>
      </c>
      <c r="E1371" s="12">
        <v>27600</v>
      </c>
      <c r="F1371" s="12">
        <v>25243</v>
      </c>
    </row>
    <row r="1372" spans="1:6" ht="12.75">
      <c r="A1372" s="153" t="s">
        <v>33</v>
      </c>
      <c r="B1372" s="167">
        <f t="shared" si="22"/>
        <v>70262.94</v>
      </c>
      <c r="C1372" s="165">
        <v>15736.94</v>
      </c>
      <c r="D1372" s="12">
        <v>16782</v>
      </c>
      <c r="E1372" s="12">
        <v>18872</v>
      </c>
      <c r="F1372" s="12">
        <v>18872</v>
      </c>
    </row>
    <row r="1373" spans="1:6" ht="12.75">
      <c r="A1373" s="153" t="s">
        <v>24</v>
      </c>
      <c r="B1373" s="167">
        <f t="shared" si="22"/>
        <v>1516.21</v>
      </c>
      <c r="C1373" s="12">
        <v>160.95</v>
      </c>
      <c r="D1373" s="12">
        <v>389.01</v>
      </c>
      <c r="E1373" s="12">
        <v>466</v>
      </c>
      <c r="F1373" s="12">
        <v>500.25</v>
      </c>
    </row>
    <row r="1374" spans="1:6" ht="12.75">
      <c r="A1374" s="153" t="s">
        <v>17</v>
      </c>
      <c r="B1374" s="167">
        <f t="shared" si="22"/>
        <v>0</v>
      </c>
      <c r="C1374" s="12"/>
      <c r="D1374" s="12"/>
      <c r="E1374" s="12"/>
      <c r="F1374" s="12"/>
    </row>
    <row r="1375" spans="1:6" ht="12.75">
      <c r="A1375" s="153" t="s">
        <v>40</v>
      </c>
      <c r="B1375" s="167">
        <f t="shared" si="22"/>
        <v>50</v>
      </c>
      <c r="C1375" s="12"/>
      <c r="D1375" s="12"/>
      <c r="E1375" s="12"/>
      <c r="F1375" s="12">
        <v>50</v>
      </c>
    </row>
    <row r="1376" spans="1:6" ht="12.75">
      <c r="A1376" s="153" t="s">
        <v>88</v>
      </c>
      <c r="B1376" s="167">
        <f t="shared" si="22"/>
        <v>559.9</v>
      </c>
      <c r="C1376" s="12"/>
      <c r="D1376" s="12">
        <v>297.4</v>
      </c>
      <c r="E1376" s="12">
        <v>262.5</v>
      </c>
      <c r="F1376" s="12"/>
    </row>
    <row r="1377" spans="1:6" ht="12.75">
      <c r="A1377" s="153" t="s">
        <v>501</v>
      </c>
      <c r="B1377" s="167">
        <f t="shared" si="22"/>
        <v>6730</v>
      </c>
      <c r="C1377" s="12"/>
      <c r="D1377" s="12">
        <v>2187</v>
      </c>
      <c r="E1377" s="12">
        <v>2524</v>
      </c>
      <c r="F1377" s="12">
        <v>2019</v>
      </c>
    </row>
    <row r="1378" spans="1:6" ht="12.75">
      <c r="A1378" s="155" t="s">
        <v>11</v>
      </c>
      <c r="B1378" s="166">
        <f>C1378+D1378+E1378+F1378</f>
        <v>188522.89877161</v>
      </c>
      <c r="C1378" s="157">
        <f>C1368+C1370</f>
        <v>43394.997243000005</v>
      </c>
      <c r="D1378" s="157">
        <f>D1368+D1370</f>
        <v>45134.74008</v>
      </c>
      <c r="E1378" s="157">
        <f>E1368+E1370</f>
        <v>52470.821494</v>
      </c>
      <c r="F1378" s="157">
        <f>F1368+F1370</f>
        <v>47522.33995461</v>
      </c>
    </row>
    <row r="1379" spans="1:6" ht="21.75">
      <c r="A1379" s="159" t="s">
        <v>18</v>
      </c>
      <c r="B1379" s="167">
        <f aca="true" t="shared" si="23" ref="B1379:B1400">C1379+D1379+E1379+F1379</f>
        <v>0</v>
      </c>
      <c r="C1379" s="12"/>
      <c r="D1379" s="12"/>
      <c r="E1379" s="12"/>
      <c r="F1379" s="12"/>
    </row>
    <row r="1380" spans="1:6" ht="12.75">
      <c r="A1380" s="153" t="s">
        <v>23</v>
      </c>
      <c r="B1380" s="167">
        <f t="shared" si="23"/>
        <v>61985.783563000005</v>
      </c>
      <c r="C1380" s="165">
        <f>5.3352*C1362</f>
        <v>13485.731688000002</v>
      </c>
      <c r="D1380" s="12">
        <f>6.1735*C1362</f>
        <v>15604.694215</v>
      </c>
      <c r="E1380" s="12">
        <f>6.4099*E1362</f>
        <v>16202.240131</v>
      </c>
      <c r="F1380" s="12">
        <f>6.6041*F1362</f>
        <v>16693.117529</v>
      </c>
    </row>
    <row r="1381" spans="1:6" ht="12.75">
      <c r="A1381" s="153" t="s">
        <v>502</v>
      </c>
      <c r="B1381" s="167">
        <f t="shared" si="23"/>
        <v>616</v>
      </c>
      <c r="C1381" s="12"/>
      <c r="D1381" s="12"/>
      <c r="E1381" s="12"/>
      <c r="F1381" s="12">
        <v>616</v>
      </c>
    </row>
    <row r="1382" spans="1:6" ht="12.75">
      <c r="A1382" s="153" t="s">
        <v>131</v>
      </c>
      <c r="B1382" s="167">
        <f t="shared" si="23"/>
        <v>0</v>
      </c>
      <c r="C1382" s="12"/>
      <c r="D1382" s="12"/>
      <c r="E1382" s="12"/>
      <c r="F1382" s="12"/>
    </row>
    <row r="1383" spans="1:6" ht="12.75">
      <c r="A1383" s="153" t="s">
        <v>396</v>
      </c>
      <c r="B1383" s="167">
        <f t="shared" si="23"/>
        <v>45795</v>
      </c>
      <c r="C1383" s="12">
        <v>11272</v>
      </c>
      <c r="D1383" s="12">
        <v>16716</v>
      </c>
      <c r="E1383" s="12">
        <v>7722</v>
      </c>
      <c r="F1383" s="12">
        <v>10085</v>
      </c>
    </row>
    <row r="1384" spans="1:6" ht="12.75">
      <c r="A1384" s="153" t="s">
        <v>28</v>
      </c>
      <c r="B1384" s="167">
        <f t="shared" si="23"/>
        <v>2605</v>
      </c>
      <c r="C1384" s="12">
        <v>980</v>
      </c>
      <c r="D1384" s="12"/>
      <c r="E1384" s="12">
        <v>550</v>
      </c>
      <c r="F1384" s="12">
        <v>1075</v>
      </c>
    </row>
    <row r="1385" spans="1:6" ht="12.75">
      <c r="A1385" s="153" t="s">
        <v>41</v>
      </c>
      <c r="B1385" s="167">
        <f t="shared" si="23"/>
        <v>2073</v>
      </c>
      <c r="C1385" s="12">
        <v>2073</v>
      </c>
      <c r="D1385" s="12"/>
      <c r="E1385" s="12"/>
      <c r="F1385" s="12"/>
    </row>
    <row r="1386" spans="1:6" ht="12.75">
      <c r="A1386" s="153" t="s">
        <v>50</v>
      </c>
      <c r="B1386" s="167">
        <f t="shared" si="23"/>
        <v>16680</v>
      </c>
      <c r="C1386" s="12"/>
      <c r="D1386" s="12">
        <v>15110</v>
      </c>
      <c r="E1386" s="12"/>
      <c r="F1386" s="12">
        <v>1570</v>
      </c>
    </row>
    <row r="1387" spans="1:6" ht="12.75">
      <c r="A1387" s="153" t="s">
        <v>52</v>
      </c>
      <c r="B1387" s="167">
        <f t="shared" si="23"/>
        <v>6855.82</v>
      </c>
      <c r="C1387" s="12">
        <v>4773.82</v>
      </c>
      <c r="D1387" s="12">
        <v>773</v>
      </c>
      <c r="E1387" s="12">
        <v>1309</v>
      </c>
      <c r="F1387" s="12"/>
    </row>
    <row r="1388" spans="1:6" ht="22.5">
      <c r="A1388" s="153" t="s">
        <v>225</v>
      </c>
      <c r="B1388" s="167">
        <f t="shared" si="23"/>
        <v>362.37</v>
      </c>
      <c r="C1388" s="12">
        <v>362.37</v>
      </c>
      <c r="D1388" s="12"/>
      <c r="E1388" s="12"/>
      <c r="F1388" s="12"/>
    </row>
    <row r="1389" spans="1:6" ht="12.75">
      <c r="A1389" s="153" t="s">
        <v>27</v>
      </c>
      <c r="B1389" s="167">
        <f t="shared" si="23"/>
        <v>0</v>
      </c>
      <c r="C1389" s="12"/>
      <c r="D1389" s="12"/>
      <c r="E1389" s="12"/>
      <c r="F1389" s="12"/>
    </row>
    <row r="1390" spans="1:6" ht="12.75">
      <c r="A1390" s="153" t="s">
        <v>453</v>
      </c>
      <c r="B1390" s="167">
        <f t="shared" si="23"/>
        <v>635</v>
      </c>
      <c r="C1390" s="12"/>
      <c r="D1390" s="12"/>
      <c r="E1390" s="12"/>
      <c r="F1390" s="12">
        <v>635</v>
      </c>
    </row>
    <row r="1391" spans="1:6" ht="22.5">
      <c r="A1391" s="153" t="s">
        <v>457</v>
      </c>
      <c r="B1391" s="167">
        <f t="shared" si="23"/>
        <v>10000</v>
      </c>
      <c r="C1391" s="12"/>
      <c r="D1391" s="12"/>
      <c r="E1391" s="12"/>
      <c r="F1391" s="12">
        <v>10000</v>
      </c>
    </row>
    <row r="1392" spans="1:6" ht="12.75">
      <c r="A1392" s="153" t="s">
        <v>47</v>
      </c>
      <c r="B1392" s="167">
        <f t="shared" si="23"/>
        <v>100</v>
      </c>
      <c r="C1392" s="12"/>
      <c r="D1392" s="12">
        <v>100</v>
      </c>
      <c r="E1392" s="12"/>
      <c r="F1392" s="12"/>
    </row>
    <row r="1393" spans="1:6" ht="12.75">
      <c r="A1393" s="153" t="s">
        <v>497</v>
      </c>
      <c r="B1393" s="167">
        <f t="shared" si="23"/>
        <v>0</v>
      </c>
      <c r="C1393" s="12"/>
      <c r="D1393" s="12"/>
      <c r="E1393" s="12"/>
      <c r="F1393" s="30">
        <v>0</v>
      </c>
    </row>
    <row r="1394" spans="1:6" ht="12.75">
      <c r="A1394" s="153" t="s">
        <v>48</v>
      </c>
      <c r="B1394" s="167">
        <f t="shared" si="23"/>
        <v>0</v>
      </c>
      <c r="C1394" s="12"/>
      <c r="D1394" s="12"/>
      <c r="E1394" s="12"/>
      <c r="F1394" s="12"/>
    </row>
    <row r="1395" spans="1:6" ht="12.75">
      <c r="A1395" s="153" t="s">
        <v>49</v>
      </c>
      <c r="B1395" s="167">
        <f t="shared" si="23"/>
        <v>0</v>
      </c>
      <c r="C1395" s="12"/>
      <c r="D1395" s="12"/>
      <c r="E1395" s="12"/>
      <c r="F1395" s="12"/>
    </row>
    <row r="1396" spans="1:6" ht="12.75">
      <c r="A1396" s="153" t="s">
        <v>51</v>
      </c>
      <c r="B1396" s="167">
        <f t="shared" si="23"/>
        <v>0</v>
      </c>
      <c r="C1396" s="12"/>
      <c r="D1396" s="12"/>
      <c r="E1396" s="12"/>
      <c r="F1396" s="12"/>
    </row>
    <row r="1397" spans="1:6" ht="12.75">
      <c r="A1397" s="153" t="s">
        <v>54</v>
      </c>
      <c r="B1397" s="167">
        <f t="shared" si="23"/>
        <v>0</v>
      </c>
      <c r="C1397" s="12"/>
      <c r="D1397" s="12"/>
      <c r="E1397" s="12"/>
      <c r="F1397" s="12"/>
    </row>
    <row r="1398" spans="1:6" ht="12.75">
      <c r="A1398" s="153" t="s">
        <v>55</v>
      </c>
      <c r="B1398" s="167">
        <f t="shared" si="23"/>
        <v>0</v>
      </c>
      <c r="C1398" s="12"/>
      <c r="D1398" s="12"/>
      <c r="E1398" s="12"/>
      <c r="F1398" s="12"/>
    </row>
    <row r="1399" spans="1:6" ht="12.75">
      <c r="A1399" s="153" t="s">
        <v>132</v>
      </c>
      <c r="B1399" s="167">
        <f t="shared" si="23"/>
        <v>0</v>
      </c>
      <c r="C1399" s="12"/>
      <c r="D1399" s="12"/>
      <c r="E1399" s="12"/>
      <c r="F1399" s="12"/>
    </row>
    <row r="1400" spans="1:6" ht="12.75">
      <c r="A1400" s="153" t="s">
        <v>58</v>
      </c>
      <c r="B1400" s="167">
        <f t="shared" si="23"/>
        <v>0</v>
      </c>
      <c r="C1400" s="12"/>
      <c r="D1400" s="12"/>
      <c r="E1400" s="12"/>
      <c r="F1400" s="12"/>
    </row>
    <row r="1401" spans="1:6" ht="12.75">
      <c r="A1401" s="155" t="s">
        <v>11</v>
      </c>
      <c r="B1401" s="166">
        <f aca="true" t="shared" si="24" ref="B1401:B1410">C1401+D1401+E1401+F1401</f>
        <v>147707.97356299998</v>
      </c>
      <c r="C1401" s="157">
        <f>C1380+C1381+C1382+C1383+C1384++C1385+C1386+C1387+C1388+C1389+C1390+C1391+C1392+C1393+C1394+C1395+C1396+C1397+C1398+C1399+C1400</f>
        <v>32946.921688</v>
      </c>
      <c r="D1401" s="157">
        <f>SUM(D1380:D1400)</f>
        <v>48303.694214999996</v>
      </c>
      <c r="E1401" s="157">
        <f>SUM(E1380:E1400)</f>
        <v>25783.240131</v>
      </c>
      <c r="F1401" s="157">
        <f>SUM(F1380:F1400)</f>
        <v>40674.117528999996</v>
      </c>
    </row>
    <row r="1402" spans="1:6" ht="12.75">
      <c r="A1402" s="155" t="s">
        <v>19</v>
      </c>
      <c r="B1402" s="167">
        <f t="shared" si="24"/>
        <v>0</v>
      </c>
      <c r="C1402" s="12"/>
      <c r="D1402" s="12"/>
      <c r="E1402" s="12"/>
      <c r="F1402" s="12"/>
    </row>
    <row r="1403" spans="1:6" ht="12.75">
      <c r="A1403" s="153" t="s">
        <v>38</v>
      </c>
      <c r="B1403" s="167">
        <f t="shared" si="24"/>
        <v>2124.85962777</v>
      </c>
      <c r="C1403" s="12">
        <f>0.218666*C1362</f>
        <v>552.71986154</v>
      </c>
      <c r="D1403" s="12">
        <f>0.210458*C1362</f>
        <v>531.97258202</v>
      </c>
      <c r="E1403" s="12">
        <f>0.167241*E1362</f>
        <v>422.73340329</v>
      </c>
      <c r="F1403" s="12">
        <f>0.244268*F1362</f>
        <v>617.43378092</v>
      </c>
    </row>
    <row r="1404" spans="1:6" ht="12.75">
      <c r="A1404" s="153" t="s">
        <v>39</v>
      </c>
      <c r="B1404" s="167">
        <f t="shared" si="24"/>
        <v>4213.45448711</v>
      </c>
      <c r="C1404" s="12">
        <f>0.306583*C1362</f>
        <v>774.94678327</v>
      </c>
      <c r="D1404" s="12">
        <f>0.0733554*C1362</f>
        <v>185.41971102600002</v>
      </c>
      <c r="E1404" s="12">
        <f>0.536065*E1362</f>
        <v>1355.00613985</v>
      </c>
      <c r="F1404" s="12">
        <f>0.7509156*F1362</f>
        <v>1898.081852964</v>
      </c>
    </row>
    <row r="1405" spans="1:6" ht="12.75">
      <c r="A1405" s="153" t="s">
        <v>32</v>
      </c>
      <c r="B1405" s="167">
        <f t="shared" si="24"/>
        <v>0</v>
      </c>
      <c r="C1405" s="12"/>
      <c r="D1405" s="12"/>
      <c r="E1405" s="12"/>
      <c r="F1405" s="12"/>
    </row>
    <row r="1406" spans="1:6" ht="12.75">
      <c r="A1406" s="153" t="s">
        <v>37</v>
      </c>
      <c r="B1406" s="167">
        <f t="shared" si="24"/>
        <v>5443.518932412</v>
      </c>
      <c r="C1406" s="12">
        <f>0.70476*C1362</f>
        <v>1781.4148044</v>
      </c>
      <c r="D1406" s="12">
        <f>0.3731258*C1362</f>
        <v>943.146353402</v>
      </c>
      <c r="E1406" s="12">
        <f>0.553205*E1362</f>
        <v>1398.3307464499999</v>
      </c>
      <c r="F1406" s="12">
        <f>0.522464*F1362</f>
        <v>1320.6270281600002</v>
      </c>
    </row>
    <row r="1407" spans="1:6" ht="12.75">
      <c r="A1407" s="153" t="s">
        <v>20</v>
      </c>
      <c r="B1407" s="167">
        <f t="shared" si="24"/>
        <v>2012.8703223200002</v>
      </c>
      <c r="C1407" s="12"/>
      <c r="D1407" s="12">
        <f>0.158142*C1362</f>
        <v>399.73395198000003</v>
      </c>
      <c r="E1407" s="12">
        <f>0.60489*E1362</f>
        <v>1528.9744041000001</v>
      </c>
      <c r="F1407" s="12">
        <f>0.033296*F1362</f>
        <v>84.16196624</v>
      </c>
    </row>
    <row r="1408" spans="1:6" ht="12.75">
      <c r="A1408" s="156" t="s">
        <v>11</v>
      </c>
      <c r="B1408" s="166">
        <f t="shared" si="24"/>
        <v>13794.703369612002</v>
      </c>
      <c r="C1408" s="157">
        <f>C1403+C1404+C1405+C1406+C1407</f>
        <v>3109.08144921</v>
      </c>
      <c r="D1408" s="157">
        <f>SUM(D1403:D1407)</f>
        <v>2060.2725984280005</v>
      </c>
      <c r="E1408" s="157">
        <f>SUM(E1403:E1407)</f>
        <v>4705.04469369</v>
      </c>
      <c r="F1408" s="157">
        <f>SUM(F1403:F1407)</f>
        <v>3920.3046282840005</v>
      </c>
    </row>
    <row r="1409" spans="1:6" ht="12.75">
      <c r="A1409" s="153" t="s">
        <v>101</v>
      </c>
      <c r="B1409" s="167">
        <f t="shared" si="24"/>
        <v>1649.3746958399997</v>
      </c>
      <c r="C1409" s="157">
        <f>0.0644*C1362</f>
        <v>162.783236</v>
      </c>
      <c r="D1409" s="12">
        <v>140</v>
      </c>
      <c r="E1409" s="12">
        <f>0.10264*E1362</f>
        <v>259.4421016</v>
      </c>
      <c r="F1409" s="12">
        <f>0.430096*F1362</f>
        <v>1087.1493582399999</v>
      </c>
    </row>
    <row r="1410" spans="1:6" ht="33.75">
      <c r="A1410" s="161" t="s">
        <v>21</v>
      </c>
      <c r="B1410" s="166">
        <f t="shared" si="24"/>
        <v>351415.508298462</v>
      </c>
      <c r="C1410" s="157">
        <f>C1378+C1401+C1408+C1409</f>
        <v>79613.78361621001</v>
      </c>
      <c r="D1410" s="157">
        <f>D1378+D1401+D1408+D1409</f>
        <v>95638.706893428</v>
      </c>
      <c r="E1410" s="157">
        <f>E1378+E1401+E1408</f>
        <v>82959.10631869</v>
      </c>
      <c r="F1410" s="157">
        <f>F1378+F1401+F1408+F1409</f>
        <v>93203.911470134</v>
      </c>
    </row>
    <row r="1411" spans="1:6" ht="45">
      <c r="A1411" s="161" t="s">
        <v>22</v>
      </c>
      <c r="B1411" s="162">
        <f>B1410/12/C1362</f>
        <v>11.585528957877944</v>
      </c>
      <c r="C1411" s="14">
        <f>C1410/C1362/3</f>
        <v>10.498885493106355</v>
      </c>
      <c r="D1411" s="14">
        <f>D1410/3/C1362</f>
        <v>12.612135572192791</v>
      </c>
      <c r="E1411" s="14">
        <f>E1410/3/C1362</f>
        <v>10.940042267668636</v>
      </c>
      <c r="F1411" s="14">
        <f>F1410/3/C1362</f>
        <v>12.291052498543992</v>
      </c>
    </row>
    <row r="1412" spans="1:6" ht="12.75">
      <c r="A1412" s="163" t="s">
        <v>34</v>
      </c>
      <c r="B1412" s="164">
        <f>B1366-B1410</f>
        <v>-78802.56829846208</v>
      </c>
      <c r="C1412" s="165">
        <f>C1366-C1410</f>
        <v>-16312.513616210017</v>
      </c>
      <c r="D1412" s="165">
        <f>D1366-D1410-16312</f>
        <v>-37760.306893428</v>
      </c>
      <c r="E1412" s="165">
        <f>E1366-E1410-37760</f>
        <v>-54579.37631869</v>
      </c>
      <c r="F1412" s="165">
        <f>F1366-F1410-54579</f>
        <v>-78801.371470134</v>
      </c>
    </row>
    <row r="1413" spans="1:6" ht="12.75">
      <c r="A1413" s="29" t="s">
        <v>44</v>
      </c>
      <c r="B1413" s="29"/>
      <c r="C1413" s="29"/>
      <c r="D1413" s="29"/>
      <c r="E1413" s="29"/>
      <c r="F1413" s="29"/>
    </row>
    <row r="1414" spans="1:6" ht="12.75">
      <c r="A1414" s="29" t="s">
        <v>45</v>
      </c>
      <c r="B1414" s="29"/>
      <c r="C1414" s="29"/>
      <c r="D1414" s="29"/>
      <c r="E1414" s="29"/>
      <c r="F1414" s="29"/>
    </row>
    <row r="1415" spans="1:6" ht="12.75">
      <c r="A1415" s="29" t="s">
        <v>579</v>
      </c>
      <c r="B1415" s="29"/>
      <c r="C1415" s="29"/>
      <c r="D1415" s="29"/>
      <c r="E1415" s="29"/>
      <c r="F1415" s="29"/>
    </row>
    <row r="1416" spans="1:6" ht="301.5" customHeight="1">
      <c r="A1416" s="29"/>
      <c r="B1416" s="29"/>
      <c r="C1416" s="29"/>
      <c r="D1416" s="29"/>
      <c r="E1416" s="29"/>
      <c r="F1416" s="29"/>
    </row>
    <row r="1417" spans="1:6" ht="12.75">
      <c r="A1417" s="120" t="s">
        <v>35</v>
      </c>
      <c r="B1417" s="120"/>
      <c r="C1417" s="29"/>
      <c r="D1417" s="29"/>
      <c r="E1417" s="29"/>
      <c r="F1417" s="29"/>
    </row>
    <row r="1418" spans="1:6" ht="12.75">
      <c r="A1418" s="29" t="s">
        <v>616</v>
      </c>
      <c r="B1418" s="29"/>
      <c r="C1418" s="29"/>
      <c r="D1418" s="29"/>
      <c r="E1418" s="29"/>
      <c r="F1418" s="29"/>
    </row>
    <row r="1419" spans="1:6" ht="12.75">
      <c r="A1419" s="29" t="s">
        <v>224</v>
      </c>
      <c r="B1419" s="29"/>
      <c r="C1419" s="29"/>
      <c r="D1419" s="29"/>
      <c r="E1419" s="29"/>
      <c r="F1419" s="29"/>
    </row>
    <row r="1420" spans="1:6" ht="12.75">
      <c r="A1420" s="29" t="s">
        <v>606</v>
      </c>
      <c r="B1420" s="29"/>
      <c r="C1420" s="29"/>
      <c r="D1420" s="29"/>
      <c r="E1420" s="29" t="s">
        <v>340</v>
      </c>
      <c r="F1420" s="29"/>
    </row>
    <row r="1421" spans="1:6" ht="12.75">
      <c r="A1421" s="10" t="s">
        <v>1</v>
      </c>
      <c r="B1421" s="10" t="s">
        <v>11</v>
      </c>
      <c r="C1421" s="10" t="s">
        <v>86</v>
      </c>
      <c r="D1421" s="10" t="s">
        <v>87</v>
      </c>
      <c r="E1421" s="10" t="s">
        <v>120</v>
      </c>
      <c r="F1421" s="10" t="s">
        <v>141</v>
      </c>
    </row>
    <row r="1422" spans="1:6" ht="12.75">
      <c r="A1422" s="22" t="s">
        <v>6</v>
      </c>
      <c r="B1422" s="22"/>
      <c r="C1422" s="10"/>
      <c r="D1422" s="5"/>
      <c r="E1422" s="5"/>
      <c r="F1422" s="5"/>
    </row>
    <row r="1423" spans="1:6" ht="12.75">
      <c r="A1423" s="5" t="s">
        <v>2</v>
      </c>
      <c r="B1423" s="5"/>
      <c r="C1423" s="10">
        <v>5</v>
      </c>
      <c r="D1423" s="5"/>
      <c r="E1423" s="5"/>
      <c r="F1423" s="5"/>
    </row>
    <row r="1424" spans="1:6" ht="12.75">
      <c r="A1424" s="5" t="s">
        <v>3</v>
      </c>
      <c r="B1424" s="5"/>
      <c r="C1424" s="10">
        <v>6</v>
      </c>
      <c r="D1424" s="5"/>
      <c r="E1424" s="5"/>
      <c r="F1424" s="5"/>
    </row>
    <row r="1425" spans="1:6" ht="12.75">
      <c r="A1425" s="5" t="s">
        <v>4</v>
      </c>
      <c r="B1425" s="5"/>
      <c r="C1425" s="10">
        <v>61</v>
      </c>
      <c r="D1425" s="5"/>
      <c r="E1425" s="5"/>
      <c r="F1425" s="5"/>
    </row>
    <row r="1426" spans="1:6" ht="12.75">
      <c r="A1426" s="5" t="s">
        <v>5</v>
      </c>
      <c r="B1426" s="10">
        <v>3613.63</v>
      </c>
      <c r="C1426" s="10">
        <v>3613.63</v>
      </c>
      <c r="D1426" s="10">
        <v>3613.63</v>
      </c>
      <c r="E1426" s="10">
        <v>3613.63</v>
      </c>
      <c r="F1426" s="10">
        <v>3613.63</v>
      </c>
    </row>
    <row r="1427" spans="1:6" ht="22.5">
      <c r="A1427" s="150" t="s">
        <v>7</v>
      </c>
      <c r="B1427" s="150"/>
      <c r="C1427" s="5" t="s">
        <v>36</v>
      </c>
      <c r="D1427" s="5"/>
      <c r="E1427" s="5"/>
      <c r="F1427" s="5"/>
    </row>
    <row r="1428" spans="1:6" ht="22.5">
      <c r="A1428" s="151" t="s">
        <v>8</v>
      </c>
      <c r="B1428" s="6">
        <f>C1428+D1428+E1428+F1428</f>
        <v>321005.03</v>
      </c>
      <c r="C1428" s="10">
        <v>100460.96</v>
      </c>
      <c r="D1428" s="5">
        <v>86943.88</v>
      </c>
      <c r="E1428" s="5">
        <v>83718.08</v>
      </c>
      <c r="F1428" s="10">
        <v>49882.11</v>
      </c>
    </row>
    <row r="1429" spans="1:6" ht="22.5">
      <c r="A1429" s="153" t="s">
        <v>9</v>
      </c>
      <c r="B1429" s="6">
        <f>C1429+D1429+E1429+F1429</f>
        <v>20405.43</v>
      </c>
      <c r="C1429" s="10">
        <v>4353.46</v>
      </c>
      <c r="D1429" s="5">
        <v>4501.03</v>
      </c>
      <c r="E1429" s="5">
        <v>7049.91</v>
      </c>
      <c r="F1429" s="10">
        <v>4501.03</v>
      </c>
    </row>
    <row r="1430" spans="1:6" ht="12.75">
      <c r="A1430" s="5" t="s">
        <v>11</v>
      </c>
      <c r="B1430" s="150">
        <f>C1430+D1430+E1430+F1430</f>
        <v>341410.46</v>
      </c>
      <c r="C1430" s="22">
        <f>C1428+C1429</f>
        <v>104814.42000000001</v>
      </c>
      <c r="D1430" s="155">
        <f>SUM(D1428:D1429)</f>
        <v>91444.91</v>
      </c>
      <c r="E1430" s="155">
        <f>SUM(E1428:E1429)</f>
        <v>90767.99</v>
      </c>
      <c r="F1430" s="22">
        <f>SUM(F1428:F1429)</f>
        <v>54383.14</v>
      </c>
    </row>
    <row r="1431" spans="1:6" ht="22.5">
      <c r="A1431" s="150" t="s">
        <v>12</v>
      </c>
      <c r="B1431" s="150"/>
      <c r="C1431" s="5"/>
      <c r="D1431" s="5"/>
      <c r="E1431" s="5"/>
      <c r="F1431" s="5"/>
    </row>
    <row r="1432" spans="1:7" ht="12.75">
      <c r="A1432" s="156" t="s">
        <v>13</v>
      </c>
      <c r="B1432" s="167">
        <f>C1432+D1432+E1432+F1432</f>
        <v>114107.48248747001</v>
      </c>
      <c r="C1432" s="12">
        <f>7.5947*C1426</f>
        <v>27444.435761</v>
      </c>
      <c r="D1432" s="12">
        <f>7.632*C1426</f>
        <v>27579.224159999998</v>
      </c>
      <c r="E1432" s="12">
        <f>8.5526*E1426</f>
        <v>30905.931938</v>
      </c>
      <c r="F1432" s="12">
        <f>7.797669*F1426</f>
        <v>28177.890628470002</v>
      </c>
      <c r="G1432" s="8"/>
    </row>
    <row r="1433" spans="1:6" ht="21.75">
      <c r="A1433" s="156" t="s">
        <v>14</v>
      </c>
      <c r="B1433" s="167">
        <f aca="true" t="shared" si="25" ref="B1433:B1474">C1433+D1433+E1433+F1433</f>
        <v>0</v>
      </c>
      <c r="C1433" s="12"/>
      <c r="D1433" s="12"/>
      <c r="E1433" s="12"/>
      <c r="F1433" s="12"/>
    </row>
    <row r="1434" spans="1:6" ht="12.75">
      <c r="A1434" s="153" t="s">
        <v>15</v>
      </c>
      <c r="B1434" s="166">
        <f t="shared" si="25"/>
        <v>125661.70999999999</v>
      </c>
      <c r="C1434" s="12">
        <f>C1435+C1437</f>
        <v>28338.69</v>
      </c>
      <c r="D1434" s="12">
        <f>D1435+D1437+D1438+D1439+D1440+D1441</f>
        <v>30579.710000000003</v>
      </c>
      <c r="E1434" s="12">
        <f>E1435+E1437+E1438+E1439+E1440+E1441</f>
        <v>35793.47</v>
      </c>
      <c r="F1434" s="12">
        <f>F1435+F1437+F1438+F1439+F1440+F1441</f>
        <v>30949.84</v>
      </c>
    </row>
    <row r="1435" spans="1:6" ht="12.75">
      <c r="A1435" s="158" t="s">
        <v>16</v>
      </c>
      <c r="B1435" s="167">
        <f t="shared" si="25"/>
        <v>115881</v>
      </c>
      <c r="C1435" s="165">
        <v>28128</v>
      </c>
      <c r="D1435" s="12">
        <v>26327</v>
      </c>
      <c r="E1435" s="12">
        <f>32398</f>
        <v>32398</v>
      </c>
      <c r="F1435" s="12">
        <f>29028</f>
        <v>29028</v>
      </c>
    </row>
    <row r="1436" spans="1:6" ht="12.75">
      <c r="A1436" s="153" t="s">
        <v>33</v>
      </c>
      <c r="B1436" s="167">
        <f t="shared" si="25"/>
        <v>73582.51000000001</v>
      </c>
      <c r="C1436" s="165">
        <v>16261.51</v>
      </c>
      <c r="D1436" s="12">
        <v>17481</v>
      </c>
      <c r="E1436" s="12">
        <v>19920</v>
      </c>
      <c r="F1436" s="12">
        <v>19920</v>
      </c>
    </row>
    <row r="1437" spans="1:6" ht="12.75">
      <c r="A1437" s="153" t="s">
        <v>24</v>
      </c>
      <c r="B1437" s="167">
        <f t="shared" si="25"/>
        <v>2108.4100000000003</v>
      </c>
      <c r="C1437" s="12">
        <v>210.69</v>
      </c>
      <c r="D1437" s="12">
        <v>505.91</v>
      </c>
      <c r="E1437" s="12">
        <v>680.97</v>
      </c>
      <c r="F1437" s="12">
        <v>710.84</v>
      </c>
    </row>
    <row r="1438" spans="1:6" ht="12.75">
      <c r="A1438" s="153" t="s">
        <v>17</v>
      </c>
      <c r="B1438" s="167">
        <f t="shared" si="25"/>
        <v>0</v>
      </c>
      <c r="C1438" s="12"/>
      <c r="D1438" s="12"/>
      <c r="E1438" s="12"/>
      <c r="F1438" s="12"/>
    </row>
    <row r="1439" spans="1:6" ht="12.75">
      <c r="A1439" s="153" t="s">
        <v>277</v>
      </c>
      <c r="B1439" s="167">
        <f t="shared" si="25"/>
        <v>1324.4</v>
      </c>
      <c r="C1439" s="12"/>
      <c r="D1439" s="12">
        <v>1324.4</v>
      </c>
      <c r="E1439" s="12"/>
      <c r="F1439" s="12"/>
    </row>
    <row r="1440" spans="1:6" ht="12.75">
      <c r="A1440" s="153" t="s">
        <v>65</v>
      </c>
      <c r="B1440" s="167">
        <f t="shared" si="25"/>
        <v>559.9</v>
      </c>
      <c r="C1440" s="12"/>
      <c r="D1440" s="12">
        <v>297.4</v>
      </c>
      <c r="E1440" s="12">
        <v>262.5</v>
      </c>
      <c r="F1440" s="12"/>
    </row>
    <row r="1441" spans="1:6" ht="12.75">
      <c r="A1441" s="153" t="s">
        <v>503</v>
      </c>
      <c r="B1441" s="167">
        <f t="shared" si="25"/>
        <v>5788</v>
      </c>
      <c r="C1441" s="12"/>
      <c r="D1441" s="12">
        <v>2125</v>
      </c>
      <c r="E1441" s="12">
        <v>2452</v>
      </c>
      <c r="F1441" s="12">
        <v>1211</v>
      </c>
    </row>
    <row r="1442" spans="1:6" ht="12.75">
      <c r="A1442" s="155" t="s">
        <v>11</v>
      </c>
      <c r="B1442" s="166">
        <f t="shared" si="25"/>
        <v>239769.19248747</v>
      </c>
      <c r="C1442" s="157">
        <f>C1432+C1434</f>
        <v>55783.125761</v>
      </c>
      <c r="D1442" s="157">
        <f>D1432+D1434</f>
        <v>58158.934160000004</v>
      </c>
      <c r="E1442" s="157">
        <f>E1432+E1434</f>
        <v>66699.401938</v>
      </c>
      <c r="F1442" s="157">
        <f>F1432+F1434</f>
        <v>59127.73062847</v>
      </c>
    </row>
    <row r="1443" spans="1:6" ht="21.75">
      <c r="A1443" s="159" t="s">
        <v>18</v>
      </c>
      <c r="B1443" s="167">
        <f t="shared" si="25"/>
        <v>0</v>
      </c>
      <c r="C1443" s="12"/>
      <c r="D1443" s="12"/>
      <c r="E1443" s="12"/>
      <c r="F1443" s="12"/>
    </row>
    <row r="1444" spans="1:6" ht="12.75">
      <c r="A1444" s="153" t="s">
        <v>23</v>
      </c>
      <c r="B1444" s="167">
        <f t="shared" si="25"/>
        <v>88615.964401</v>
      </c>
      <c r="C1444" s="165">
        <f>5.3352*C1426</f>
        <v>19279.438776000003</v>
      </c>
      <c r="D1444" s="12">
        <f>6.1735*C1426</f>
        <v>22308.744805</v>
      </c>
      <c r="E1444" s="12">
        <f>6.4099*E1426</f>
        <v>23163.006937000002</v>
      </c>
      <c r="F1444" s="12">
        <f>6.6041*F1426</f>
        <v>23864.773883</v>
      </c>
    </row>
    <row r="1445" spans="1:6" ht="12.75">
      <c r="A1445" s="153" t="s">
        <v>398</v>
      </c>
      <c r="B1445" s="167">
        <f t="shared" si="25"/>
        <v>48297</v>
      </c>
      <c r="C1445" s="12"/>
      <c r="D1445" s="12"/>
      <c r="E1445" s="12">
        <v>17880</v>
      </c>
      <c r="F1445" s="12">
        <v>30417</v>
      </c>
    </row>
    <row r="1446" spans="1:6" ht="12.75">
      <c r="A1446" s="153" t="s">
        <v>143</v>
      </c>
      <c r="B1446" s="167">
        <f t="shared" si="25"/>
        <v>0</v>
      </c>
      <c r="C1446" s="12"/>
      <c r="D1446" s="12"/>
      <c r="E1446" s="12"/>
      <c r="F1446" s="12"/>
    </row>
    <row r="1447" spans="1:6" ht="12.75">
      <c r="A1447" s="153" t="s">
        <v>30</v>
      </c>
      <c r="B1447" s="167">
        <f t="shared" si="25"/>
        <v>31984.5</v>
      </c>
      <c r="C1447" s="12">
        <v>8071</v>
      </c>
      <c r="D1447" s="12">
        <v>10227</v>
      </c>
      <c r="E1447" s="12">
        <v>3087.5</v>
      </c>
      <c r="F1447" s="12">
        <v>10599</v>
      </c>
    </row>
    <row r="1448" spans="1:6" ht="12.75">
      <c r="A1448" s="153" t="s">
        <v>28</v>
      </c>
      <c r="B1448" s="167">
        <f t="shared" si="25"/>
        <v>105</v>
      </c>
      <c r="C1448" s="12"/>
      <c r="D1448" s="12"/>
      <c r="E1448" s="12"/>
      <c r="F1448" s="12">
        <v>105</v>
      </c>
    </row>
    <row r="1449" spans="1:6" ht="12.75">
      <c r="A1449" s="153" t="s">
        <v>41</v>
      </c>
      <c r="B1449" s="167">
        <f t="shared" si="25"/>
        <v>7535</v>
      </c>
      <c r="C1449" s="12"/>
      <c r="D1449" s="12">
        <v>5591</v>
      </c>
      <c r="E1449" s="12">
        <v>1944</v>
      </c>
      <c r="F1449" s="12"/>
    </row>
    <row r="1450" spans="1:6" ht="12.75">
      <c r="A1450" s="153" t="s">
        <v>50</v>
      </c>
      <c r="B1450" s="167">
        <f t="shared" si="25"/>
        <v>2573</v>
      </c>
      <c r="C1450" s="12"/>
      <c r="D1450" s="12">
        <v>1665</v>
      </c>
      <c r="E1450" s="12"/>
      <c r="F1450" s="12">
        <v>908</v>
      </c>
    </row>
    <row r="1451" spans="1:6" ht="12.75">
      <c r="A1451" s="153" t="s">
        <v>52</v>
      </c>
      <c r="B1451" s="167">
        <f t="shared" si="25"/>
        <v>4905.4</v>
      </c>
      <c r="C1451" s="12">
        <v>3219.4</v>
      </c>
      <c r="D1451" s="12"/>
      <c r="E1451" s="12"/>
      <c r="F1451" s="12">
        <v>1686</v>
      </c>
    </row>
    <row r="1452" spans="1:6" ht="22.5">
      <c r="A1452" s="153" t="s">
        <v>225</v>
      </c>
      <c r="B1452" s="167">
        <f t="shared" si="25"/>
        <v>517.97</v>
      </c>
      <c r="C1452" s="12">
        <v>517.97</v>
      </c>
      <c r="D1452" s="12"/>
      <c r="E1452" s="12"/>
      <c r="F1452" s="12"/>
    </row>
    <row r="1453" spans="1:6" ht="12.75">
      <c r="A1453" s="153" t="s">
        <v>27</v>
      </c>
      <c r="B1453" s="167">
        <f t="shared" si="25"/>
        <v>100</v>
      </c>
      <c r="C1453" s="12"/>
      <c r="D1453" s="12"/>
      <c r="E1453" s="12"/>
      <c r="F1453" s="12">
        <v>100</v>
      </c>
    </row>
    <row r="1454" spans="1:6" ht="12.75">
      <c r="A1454" s="153" t="s">
        <v>397</v>
      </c>
      <c r="B1454" s="167">
        <f t="shared" si="25"/>
        <v>25250</v>
      </c>
      <c r="C1454" s="12"/>
      <c r="D1454" s="12"/>
      <c r="E1454" s="12">
        <v>25250</v>
      </c>
      <c r="F1454" s="12"/>
    </row>
    <row r="1455" spans="1:6" ht="12.75">
      <c r="A1455" s="153"/>
      <c r="B1455" s="167"/>
      <c r="C1455" s="12"/>
      <c r="D1455" s="12"/>
      <c r="E1455" s="12"/>
      <c r="F1455" s="12"/>
    </row>
    <row r="1456" spans="1:6" ht="12.75">
      <c r="A1456" s="153" t="s">
        <v>47</v>
      </c>
      <c r="B1456" s="167">
        <f t="shared" si="25"/>
        <v>900</v>
      </c>
      <c r="C1456" s="12"/>
      <c r="D1456" s="12"/>
      <c r="E1456" s="12"/>
      <c r="F1456" s="12">
        <v>900</v>
      </c>
    </row>
    <row r="1457" spans="1:6" ht="12.75">
      <c r="A1457" s="153"/>
      <c r="B1457" s="167">
        <f t="shared" si="25"/>
        <v>0</v>
      </c>
      <c r="C1457" s="12"/>
      <c r="D1457" s="12"/>
      <c r="E1457" s="12"/>
      <c r="F1457" s="12"/>
    </row>
    <row r="1458" spans="1:6" ht="12.75">
      <c r="A1458" s="153"/>
      <c r="B1458" s="167">
        <f t="shared" si="25"/>
        <v>0</v>
      </c>
      <c r="C1458" s="12"/>
      <c r="D1458" s="12"/>
      <c r="E1458" s="12"/>
      <c r="F1458" s="12"/>
    </row>
    <row r="1459" spans="1:6" ht="22.5">
      <c r="A1459" s="153" t="s">
        <v>504</v>
      </c>
      <c r="B1459" s="167">
        <f t="shared" si="25"/>
        <v>11000</v>
      </c>
      <c r="C1459" s="12"/>
      <c r="D1459" s="12"/>
      <c r="E1459" s="12"/>
      <c r="F1459" s="12">
        <v>11000</v>
      </c>
    </row>
    <row r="1460" spans="1:6" ht="12.75">
      <c r="A1460" s="153" t="s">
        <v>567</v>
      </c>
      <c r="B1460" s="167">
        <f t="shared" si="25"/>
        <v>756</v>
      </c>
      <c r="C1460" s="12">
        <v>756</v>
      </c>
      <c r="D1460" s="12"/>
      <c r="E1460" s="12"/>
      <c r="F1460" s="12"/>
    </row>
    <row r="1461" spans="1:6" ht="12.75">
      <c r="A1461" s="153"/>
      <c r="B1461" s="167">
        <f t="shared" si="25"/>
        <v>0</v>
      </c>
      <c r="C1461" s="12"/>
      <c r="D1461" s="12"/>
      <c r="E1461" s="12"/>
      <c r="F1461" s="12"/>
    </row>
    <row r="1462" spans="1:6" ht="12.75">
      <c r="A1462" s="153" t="s">
        <v>497</v>
      </c>
      <c r="B1462" s="167">
        <f t="shared" si="25"/>
        <v>0</v>
      </c>
      <c r="C1462" s="12"/>
      <c r="D1462" s="12"/>
      <c r="E1462" s="12"/>
      <c r="F1462" s="30">
        <v>0</v>
      </c>
    </row>
    <row r="1463" spans="1:6" ht="12.75">
      <c r="A1463" s="153" t="s">
        <v>58</v>
      </c>
      <c r="B1463" s="167">
        <f t="shared" si="25"/>
        <v>204051</v>
      </c>
      <c r="C1463" s="12"/>
      <c r="D1463" s="12"/>
      <c r="E1463" s="12"/>
      <c r="F1463" s="12">
        <v>204051</v>
      </c>
    </row>
    <row r="1464" spans="1:6" ht="12.75">
      <c r="A1464" s="153" t="s">
        <v>138</v>
      </c>
      <c r="B1464" s="167">
        <f t="shared" si="25"/>
        <v>14424</v>
      </c>
      <c r="C1464" s="12">
        <v>14424</v>
      </c>
      <c r="D1464" s="12"/>
      <c r="E1464" s="12"/>
      <c r="F1464" s="12"/>
    </row>
    <row r="1465" spans="1:6" ht="12.75">
      <c r="A1465" s="155" t="s">
        <v>11</v>
      </c>
      <c r="B1465" s="166">
        <f t="shared" si="25"/>
        <v>441014.834401</v>
      </c>
      <c r="C1465" s="157">
        <f>C1444+C1445+C1446+C1447+C1448++C1449+C1450+C1451+C1452+C1453+C1454+C1455+C1456+C1457+C1458+C1459+C1460+C1461+C1462+C1463+C1464</f>
        <v>46267.808776000005</v>
      </c>
      <c r="D1465" s="157">
        <f>SUM(D1444:D1464)</f>
        <v>39791.744804999995</v>
      </c>
      <c r="E1465" s="157">
        <f>SUM(E1444:E1464)</f>
        <v>71324.506937</v>
      </c>
      <c r="F1465" s="157">
        <f>SUM(F1444:F1464)</f>
        <v>283630.773883</v>
      </c>
    </row>
    <row r="1466" spans="1:6" ht="12.75">
      <c r="A1466" s="155" t="s">
        <v>19</v>
      </c>
      <c r="B1466" s="167">
        <f t="shared" si="25"/>
        <v>0</v>
      </c>
      <c r="C1466" s="12"/>
      <c r="D1466" s="12"/>
      <c r="E1466" s="12"/>
      <c r="F1466" s="12"/>
    </row>
    <row r="1467" spans="1:6" ht="12.75">
      <c r="A1467" s="153" t="s">
        <v>38</v>
      </c>
      <c r="B1467" s="167">
        <f t="shared" si="25"/>
        <v>3037.7366277900005</v>
      </c>
      <c r="C1467" s="12">
        <f>0.218666*C1426</f>
        <v>790.1780175800001</v>
      </c>
      <c r="D1467" s="12">
        <f>0.210458*C1426</f>
        <v>760.5173425400001</v>
      </c>
      <c r="E1467" s="12">
        <f>0.167241*E1426</f>
        <v>604.3470948300001</v>
      </c>
      <c r="F1467" s="12">
        <f>0.244268*F1426</f>
        <v>882.6941728400001</v>
      </c>
    </row>
    <row r="1468" spans="1:6" ht="12.75">
      <c r="A1468" s="153" t="s">
        <v>39</v>
      </c>
      <c r="B1468" s="167">
        <f t="shared" si="25"/>
        <v>6023.62850597</v>
      </c>
      <c r="C1468" s="12">
        <f>0.306583*C1426</f>
        <v>1107.87752629</v>
      </c>
      <c r="D1468" s="12">
        <f>0.0733554*C1426</f>
        <v>265.079274102</v>
      </c>
      <c r="E1468" s="12">
        <f>0.536065*E1426</f>
        <v>1937.14056595</v>
      </c>
      <c r="F1468" s="12">
        <f>0.7509156*F1426</f>
        <v>2713.5311396280003</v>
      </c>
    </row>
    <row r="1469" spans="1:6" ht="12.75">
      <c r="A1469" s="153" t="s">
        <v>32</v>
      </c>
      <c r="B1469" s="167">
        <f t="shared" si="25"/>
        <v>0</v>
      </c>
      <c r="C1469" s="12"/>
      <c r="D1469" s="12"/>
      <c r="E1469" s="12"/>
      <c r="F1469" s="12"/>
    </row>
    <row r="1470" spans="1:6" ht="12.75">
      <c r="A1470" s="153" t="s">
        <v>37</v>
      </c>
      <c r="B1470" s="167">
        <f t="shared" si="25"/>
        <v>7782.150231924001</v>
      </c>
      <c r="C1470" s="12">
        <f>0.70476*C1426</f>
        <v>2546.7418788000004</v>
      </c>
      <c r="D1470" s="12">
        <f>0.3731258*C1426</f>
        <v>1348.338584654</v>
      </c>
      <c r="E1470" s="12">
        <f>0.553205*E1426</f>
        <v>1999.07818415</v>
      </c>
      <c r="F1470" s="12">
        <f>0.522464*F1426</f>
        <v>1887.9915843200001</v>
      </c>
    </row>
    <row r="1471" spans="1:6" ht="12.75">
      <c r="A1471" s="153" t="s">
        <v>20</v>
      </c>
      <c r="B1471" s="167">
        <f t="shared" si="25"/>
        <v>2877.63475064</v>
      </c>
      <c r="C1471" s="12"/>
      <c r="D1471" s="12">
        <f>0.158142*C1426</f>
        <v>571.46667546</v>
      </c>
      <c r="E1471" s="12">
        <f>0.60489*E1426</f>
        <v>2185.8486507000002</v>
      </c>
      <c r="F1471" s="12">
        <f>0.033296*F1426</f>
        <v>120.31942448</v>
      </c>
    </row>
    <row r="1472" spans="1:6" ht="12.75">
      <c r="A1472" s="156" t="s">
        <v>11</v>
      </c>
      <c r="B1472" s="166">
        <f t="shared" si="25"/>
        <v>19721.150116324003</v>
      </c>
      <c r="C1472" s="157">
        <f>C1467+C1468+C1469+C1470+C1471</f>
        <v>4444.797422670001</v>
      </c>
      <c r="D1472" s="157">
        <f>SUM(D1467:D1471)</f>
        <v>2945.401876756</v>
      </c>
      <c r="E1472" s="157">
        <f>SUM(E1467:E1471)</f>
        <v>6726.414495630001</v>
      </c>
      <c r="F1472" s="12">
        <f>SUM(F1467:F1471)</f>
        <v>5604.536321268</v>
      </c>
    </row>
    <row r="1473" spans="1:6" ht="12.75">
      <c r="A1473" s="153" t="s">
        <v>101</v>
      </c>
      <c r="B1473" s="166">
        <f t="shared" si="25"/>
        <v>2357.82856368</v>
      </c>
      <c r="C1473" s="157">
        <f>0.0644*C1426</f>
        <v>232.717772</v>
      </c>
      <c r="D1473" s="12">
        <v>200</v>
      </c>
      <c r="E1473" s="12">
        <f>0.10264*E1426</f>
        <v>370.9029832</v>
      </c>
      <c r="F1473" s="12">
        <f>0.430096*F1426</f>
        <v>1554.20780848</v>
      </c>
    </row>
    <row r="1474" spans="1:6" ht="33.75">
      <c r="A1474" s="161" t="s">
        <v>21</v>
      </c>
      <c r="B1474" s="166">
        <f t="shared" si="25"/>
        <v>702492.102585274</v>
      </c>
      <c r="C1474" s="157">
        <f>C1442+C1465+C1472+C1473</f>
        <v>106728.44973167001</v>
      </c>
      <c r="D1474" s="157">
        <f>D1442+D1465+D1472+D1473</f>
        <v>101096.080841756</v>
      </c>
      <c r="E1474" s="157">
        <f>E1442+E1465+E1472</f>
        <v>144750.32337062998</v>
      </c>
      <c r="F1474" s="157">
        <f>F1442+F1465+F1472+F1473</f>
        <v>349917.24864121806</v>
      </c>
    </row>
    <row r="1475" spans="1:6" ht="45">
      <c r="A1475" s="161" t="s">
        <v>22</v>
      </c>
      <c r="B1475" s="162">
        <f>B1474/12/C1426</f>
        <v>16.20005605133144</v>
      </c>
      <c r="C1475" s="14">
        <f>C1474/C1426/3</f>
        <v>9.844989639381085</v>
      </c>
      <c r="D1475" s="14">
        <f>D1474/3/C1426</f>
        <v>9.325441070037238</v>
      </c>
      <c r="E1475" s="14">
        <f>E1474/3/C1426</f>
        <v>13.352254600003318</v>
      </c>
      <c r="F1475" s="14">
        <f>F1474/3/C1426</f>
        <v>32.27753889590412</v>
      </c>
    </row>
    <row r="1476" spans="1:6" ht="12.75">
      <c r="A1476" s="163" t="s">
        <v>34</v>
      </c>
      <c r="B1476" s="154">
        <f>B1430-B1474</f>
        <v>-361081.642585274</v>
      </c>
      <c r="C1476" s="165">
        <f>C1430-C1474</f>
        <v>-1914.0297316700016</v>
      </c>
      <c r="D1476" s="12">
        <f>D1430-D1474-1913</f>
        <v>-11564.170841756</v>
      </c>
      <c r="E1476" s="12">
        <f>E1430-E1474-11564</f>
        <v>-65546.33337062997</v>
      </c>
      <c r="F1476" s="12">
        <f>F1430-F1474-65546</f>
        <v>-361080.10864121804</v>
      </c>
    </row>
    <row r="1477" spans="1:6" ht="12.75">
      <c r="A1477" s="29" t="s">
        <v>44</v>
      </c>
      <c r="B1477" s="29"/>
      <c r="C1477" s="29"/>
      <c r="D1477" s="29"/>
      <c r="E1477" s="29"/>
      <c r="F1477" s="29"/>
    </row>
    <row r="1478" spans="1:6" ht="12.75">
      <c r="A1478" s="29" t="s">
        <v>579</v>
      </c>
      <c r="B1478" s="29"/>
      <c r="C1478" s="29"/>
      <c r="D1478" s="29"/>
      <c r="E1478" s="29"/>
      <c r="F1478" s="29"/>
    </row>
    <row r="1479" spans="1:6" ht="12.75">
      <c r="A1479" s="29" t="s">
        <v>45</v>
      </c>
      <c r="B1479" s="29"/>
      <c r="C1479" s="29"/>
      <c r="D1479" s="29"/>
      <c r="E1479" s="29"/>
      <c r="F1479" s="29"/>
    </row>
    <row r="1480" spans="1:6" ht="280.5" customHeight="1">
      <c r="A1480" s="29"/>
      <c r="B1480" s="29"/>
      <c r="C1480" s="29"/>
      <c r="D1480" s="29"/>
      <c r="E1480" s="29"/>
      <c r="F1480" s="29"/>
    </row>
    <row r="1481" spans="1:6" ht="12.75">
      <c r="A1481" s="120" t="s">
        <v>35</v>
      </c>
      <c r="B1481" s="120"/>
      <c r="C1481" s="29"/>
      <c r="D1481" s="29"/>
      <c r="E1481" s="29"/>
      <c r="F1481" s="29"/>
    </row>
    <row r="1482" spans="1:6" ht="12.75">
      <c r="A1482" s="29" t="s">
        <v>616</v>
      </c>
      <c r="B1482" s="29"/>
      <c r="C1482" s="29"/>
      <c r="D1482" s="29"/>
      <c r="E1482" s="29"/>
      <c r="F1482" s="29"/>
    </row>
    <row r="1483" spans="1:6" ht="12.75">
      <c r="A1483" s="29" t="s">
        <v>224</v>
      </c>
      <c r="B1483" s="29"/>
      <c r="C1483" s="29"/>
      <c r="D1483" s="29"/>
      <c r="E1483" s="29"/>
      <c r="F1483" s="29"/>
    </row>
    <row r="1484" spans="1:6" ht="12.75">
      <c r="A1484" s="29" t="s">
        <v>607</v>
      </c>
      <c r="B1484" s="29"/>
      <c r="C1484" s="29"/>
      <c r="D1484" s="29"/>
      <c r="E1484" s="29" t="s">
        <v>340</v>
      </c>
      <c r="F1484" s="29"/>
    </row>
    <row r="1485" spans="1:6" ht="12.75">
      <c r="A1485" s="10" t="s">
        <v>1</v>
      </c>
      <c r="B1485" s="10" t="s">
        <v>11</v>
      </c>
      <c r="C1485" s="10" t="s">
        <v>86</v>
      </c>
      <c r="D1485" s="10" t="s">
        <v>87</v>
      </c>
      <c r="E1485" s="10" t="s">
        <v>120</v>
      </c>
      <c r="F1485" s="10" t="s">
        <v>141</v>
      </c>
    </row>
    <row r="1486" spans="1:6" ht="12.75">
      <c r="A1486" s="22" t="s">
        <v>6</v>
      </c>
      <c r="B1486" s="22"/>
      <c r="C1486" s="10"/>
      <c r="D1486" s="5"/>
      <c r="E1486" s="5"/>
      <c r="F1486" s="5"/>
    </row>
    <row r="1487" spans="1:6" ht="12.75">
      <c r="A1487" s="5" t="s">
        <v>2</v>
      </c>
      <c r="B1487" s="5"/>
      <c r="C1487" s="10">
        <v>5</v>
      </c>
      <c r="D1487" s="5"/>
      <c r="E1487" s="5"/>
      <c r="F1487" s="5"/>
    </row>
    <row r="1488" spans="1:6" ht="12.75">
      <c r="A1488" s="5" t="s">
        <v>3</v>
      </c>
      <c r="B1488" s="5"/>
      <c r="C1488" s="10">
        <v>6</v>
      </c>
      <c r="D1488" s="5"/>
      <c r="E1488" s="5"/>
      <c r="F1488" s="5"/>
    </row>
    <row r="1489" spans="1:6" ht="12.75">
      <c r="A1489" s="5" t="s">
        <v>4</v>
      </c>
      <c r="B1489" s="5"/>
      <c r="C1489" s="10">
        <v>61</v>
      </c>
      <c r="D1489" s="5"/>
      <c r="E1489" s="5"/>
      <c r="F1489" s="5"/>
    </row>
    <row r="1490" spans="1:6" ht="12.75">
      <c r="A1490" s="5" t="s">
        <v>5</v>
      </c>
      <c r="B1490" s="10">
        <v>3657.15</v>
      </c>
      <c r="C1490" s="10">
        <v>3657.15</v>
      </c>
      <c r="D1490" s="10">
        <v>3657.15</v>
      </c>
      <c r="E1490" s="10">
        <v>3657.15</v>
      </c>
      <c r="F1490" s="10">
        <v>3657.15</v>
      </c>
    </row>
    <row r="1491" spans="1:6" ht="22.5">
      <c r="A1491" s="150" t="s">
        <v>7</v>
      </c>
      <c r="B1491" s="150"/>
      <c r="C1491" s="5" t="s">
        <v>36</v>
      </c>
      <c r="D1491" s="5"/>
      <c r="E1491" s="5"/>
      <c r="F1491" s="5"/>
    </row>
    <row r="1492" spans="1:6" ht="22.5">
      <c r="A1492" s="151" t="s">
        <v>8</v>
      </c>
      <c r="B1492" s="6">
        <f>C1492+D1492+E1492+F1492</f>
        <v>421127.27</v>
      </c>
      <c r="C1492" s="10">
        <v>77656.53</v>
      </c>
      <c r="D1492" s="10">
        <v>140151.2</v>
      </c>
      <c r="E1492" s="10">
        <v>104271.95</v>
      </c>
      <c r="F1492" s="10">
        <v>99047.59</v>
      </c>
    </row>
    <row r="1493" spans="1:6" ht="22.5">
      <c r="A1493" s="153" t="s">
        <v>9</v>
      </c>
      <c r="B1493" s="6">
        <f>C1493+D1493+E1493+F1493</f>
        <v>0</v>
      </c>
      <c r="C1493" s="10">
        <v>0</v>
      </c>
      <c r="D1493" s="10">
        <v>0</v>
      </c>
      <c r="E1493" s="10">
        <v>0</v>
      </c>
      <c r="F1493" s="10">
        <v>0</v>
      </c>
    </row>
    <row r="1494" spans="1:6" ht="12.75">
      <c r="A1494" s="5" t="s">
        <v>11</v>
      </c>
      <c r="B1494" s="6">
        <f>C1494+D1494+E1494+F1494</f>
        <v>421127.27</v>
      </c>
      <c r="C1494" s="22">
        <f>C1492+C1493</f>
        <v>77656.53</v>
      </c>
      <c r="D1494" s="22">
        <f>SUM(D1492:D1493)</f>
        <v>140151.2</v>
      </c>
      <c r="E1494" s="22">
        <f>SUM(E1492:E1493)</f>
        <v>104271.95</v>
      </c>
      <c r="F1494" s="10">
        <f>SUM(F1492:F1493)</f>
        <v>99047.59</v>
      </c>
    </row>
    <row r="1495" spans="1:6" ht="22.5">
      <c r="A1495" s="150" t="s">
        <v>12</v>
      </c>
      <c r="B1495" s="150"/>
      <c r="C1495" s="5"/>
      <c r="D1495" s="5"/>
      <c r="E1495" s="5"/>
      <c r="F1495" s="5"/>
    </row>
    <row r="1496" spans="1:7" ht="12.75">
      <c r="A1496" s="156" t="s">
        <v>13</v>
      </c>
      <c r="B1496" s="167">
        <f>C1496+D1496+E1496+F1496</f>
        <v>115481.71217834999</v>
      </c>
      <c r="C1496" s="157">
        <f>7.5947*C1490</f>
        <v>27774.957104999998</v>
      </c>
      <c r="D1496" s="157">
        <f>7.632*C1490</f>
        <v>27911.3688</v>
      </c>
      <c r="E1496" s="12">
        <f>8.5526*E1490</f>
        <v>31278.14109</v>
      </c>
      <c r="F1496" s="157">
        <f>7.797669*F1490</f>
        <v>28517.24518335</v>
      </c>
      <c r="G1496" s="8"/>
    </row>
    <row r="1497" spans="1:6" ht="21.75">
      <c r="A1497" s="156" t="s">
        <v>14</v>
      </c>
      <c r="B1497" s="167">
        <f aca="true" t="shared" si="26" ref="B1497:B1539">C1497+D1497+E1497+F1497</f>
        <v>0</v>
      </c>
      <c r="C1497" s="12"/>
      <c r="D1497" s="12"/>
      <c r="E1497" s="12"/>
      <c r="F1497" s="12"/>
    </row>
    <row r="1498" spans="1:6" ht="12.75">
      <c r="A1498" s="153" t="s">
        <v>15</v>
      </c>
      <c r="B1498" s="167">
        <f t="shared" si="26"/>
        <v>128575.45</v>
      </c>
      <c r="C1498" s="12">
        <f>C1499+C1501</f>
        <v>28484.56</v>
      </c>
      <c r="D1498" s="12">
        <f>D1499+D1501+D1502+D1503+D1504+D1505</f>
        <v>31032.59</v>
      </c>
      <c r="E1498" s="12">
        <f>E1499+E1501+E1502+E1503+E1504+E1505</f>
        <v>36604.5</v>
      </c>
      <c r="F1498" s="12">
        <f>F1499+F1501+F1502+F1503+F1504+F1505</f>
        <v>32453.8</v>
      </c>
    </row>
    <row r="1499" spans="1:6" ht="12.75">
      <c r="A1499" s="158" t="s">
        <v>16</v>
      </c>
      <c r="B1499" s="167">
        <f t="shared" si="26"/>
        <v>116388</v>
      </c>
      <c r="C1499" s="165">
        <v>28270</v>
      </c>
      <c r="D1499" s="12">
        <v>26433</v>
      </c>
      <c r="E1499" s="12">
        <v>32548</v>
      </c>
      <c r="F1499" s="12">
        <v>29137</v>
      </c>
    </row>
    <row r="1500" spans="1:6" ht="12.75">
      <c r="A1500" s="153" t="s">
        <v>33</v>
      </c>
      <c r="B1500" s="167">
        <f t="shared" si="26"/>
        <v>73582.51000000001</v>
      </c>
      <c r="C1500" s="165">
        <v>16261.51</v>
      </c>
      <c r="D1500" s="12">
        <v>17481</v>
      </c>
      <c r="E1500" s="12">
        <v>19920</v>
      </c>
      <c r="F1500" s="12">
        <v>19920</v>
      </c>
    </row>
    <row r="1501" spans="1:6" ht="12.75">
      <c r="A1501" s="153" t="s">
        <v>24</v>
      </c>
      <c r="B1501" s="167">
        <f t="shared" si="26"/>
        <v>2132.55</v>
      </c>
      <c r="C1501" s="12">
        <v>214.56</v>
      </c>
      <c r="D1501" s="12">
        <v>515.19</v>
      </c>
      <c r="E1501" s="12">
        <v>693</v>
      </c>
      <c r="F1501" s="12">
        <v>709.8</v>
      </c>
    </row>
    <row r="1502" spans="1:6" ht="12.75">
      <c r="A1502" s="153" t="s">
        <v>17</v>
      </c>
      <c r="B1502" s="167">
        <f t="shared" si="26"/>
        <v>0</v>
      </c>
      <c r="C1502" s="12"/>
      <c r="D1502" s="12"/>
      <c r="E1502" s="12"/>
      <c r="F1502" s="12"/>
    </row>
    <row r="1503" spans="1:6" ht="12.75">
      <c r="A1503" s="153" t="s">
        <v>40</v>
      </c>
      <c r="B1503" s="167">
        <f t="shared" si="26"/>
        <v>1150</v>
      </c>
      <c r="C1503" s="12"/>
      <c r="D1503" s="12">
        <v>1100</v>
      </c>
      <c r="E1503" s="12"/>
      <c r="F1503" s="12">
        <v>50</v>
      </c>
    </row>
    <row r="1504" spans="1:6" ht="12.75">
      <c r="A1504" s="153" t="s">
        <v>505</v>
      </c>
      <c r="B1504" s="167">
        <f t="shared" si="26"/>
        <v>8345</v>
      </c>
      <c r="C1504" s="12"/>
      <c r="D1504" s="12">
        <v>2687</v>
      </c>
      <c r="E1504" s="12">
        <v>3101</v>
      </c>
      <c r="F1504" s="12">
        <v>2557</v>
      </c>
    </row>
    <row r="1505" spans="1:6" ht="12.75">
      <c r="A1505" s="153" t="s">
        <v>65</v>
      </c>
      <c r="B1505" s="167">
        <f t="shared" si="26"/>
        <v>559.9</v>
      </c>
      <c r="C1505" s="12"/>
      <c r="D1505" s="12">
        <v>297.4</v>
      </c>
      <c r="E1505" s="12">
        <v>262.5</v>
      </c>
      <c r="F1505" s="12"/>
    </row>
    <row r="1506" spans="1:6" ht="12.75">
      <c r="A1506" s="155" t="s">
        <v>11</v>
      </c>
      <c r="B1506" s="167">
        <f t="shared" si="26"/>
        <v>244057.16217834997</v>
      </c>
      <c r="C1506" s="157">
        <f>C1496+C1498</f>
        <v>56259.517105</v>
      </c>
      <c r="D1506" s="157">
        <f>D1496+D1498</f>
        <v>58943.9588</v>
      </c>
      <c r="E1506" s="12">
        <f>E1496+E1498</f>
        <v>67882.64109</v>
      </c>
      <c r="F1506" s="157">
        <f>F1496+F1498</f>
        <v>60971.04518335</v>
      </c>
    </row>
    <row r="1507" spans="1:6" ht="21.75">
      <c r="A1507" s="159" t="s">
        <v>18</v>
      </c>
      <c r="B1507" s="167">
        <f t="shared" si="26"/>
        <v>0</v>
      </c>
      <c r="C1507" s="12"/>
      <c r="D1507" s="12"/>
      <c r="E1507" s="12"/>
      <c r="F1507" s="12"/>
    </row>
    <row r="1508" spans="1:6" ht="12.75">
      <c r="A1508" s="153" t="s">
        <v>23</v>
      </c>
      <c r="B1508" s="167">
        <f t="shared" si="26"/>
        <v>89682.09516</v>
      </c>
      <c r="C1508" s="165">
        <f>5.3352*C1490</f>
        <v>19511.62668</v>
      </c>
      <c r="D1508" s="12">
        <f>6.1732*C1490</f>
        <v>22576.31838</v>
      </c>
      <c r="E1508" s="12">
        <f>6.4099*E1490</f>
        <v>23441.965785</v>
      </c>
      <c r="F1508" s="12">
        <f>6.6041*F1490</f>
        <v>24152.184315</v>
      </c>
    </row>
    <row r="1509" spans="1:6" ht="12.75">
      <c r="A1509" s="153" t="s">
        <v>278</v>
      </c>
      <c r="B1509" s="167">
        <f t="shared" si="26"/>
        <v>76115</v>
      </c>
      <c r="C1509" s="12"/>
      <c r="D1509" s="12">
        <v>76115</v>
      </c>
      <c r="E1509" s="12"/>
      <c r="F1509" s="12"/>
    </row>
    <row r="1510" spans="1:6" ht="12.75">
      <c r="A1510" s="153" t="s">
        <v>133</v>
      </c>
      <c r="B1510" s="167">
        <f t="shared" si="26"/>
        <v>0</v>
      </c>
      <c r="C1510" s="12"/>
      <c r="D1510" s="12"/>
      <c r="E1510" s="12"/>
      <c r="F1510" s="12"/>
    </row>
    <row r="1511" spans="1:6" ht="12.75">
      <c r="A1511" s="153" t="s">
        <v>390</v>
      </c>
      <c r="B1511" s="167">
        <f t="shared" si="26"/>
        <v>44250.6</v>
      </c>
      <c r="C1511" s="12">
        <v>14263</v>
      </c>
      <c r="D1511" s="12">
        <v>18264</v>
      </c>
      <c r="E1511" s="12">
        <v>6523</v>
      </c>
      <c r="F1511" s="12">
        <v>5200.6</v>
      </c>
    </row>
    <row r="1512" spans="1:6" ht="12.75">
      <c r="A1512" s="153" t="s">
        <v>28</v>
      </c>
      <c r="B1512" s="167">
        <f t="shared" si="26"/>
        <v>1472</v>
      </c>
      <c r="C1512" s="12">
        <v>752</v>
      </c>
      <c r="D1512" s="12"/>
      <c r="E1512" s="12">
        <v>720</v>
      </c>
      <c r="F1512" s="12"/>
    </row>
    <row r="1513" spans="1:6" ht="12.75">
      <c r="A1513" s="153" t="s">
        <v>41</v>
      </c>
      <c r="B1513" s="167">
        <f t="shared" si="26"/>
        <v>5164</v>
      </c>
      <c r="C1513" s="12">
        <v>1254</v>
      </c>
      <c r="D1513" s="12">
        <v>3910</v>
      </c>
      <c r="E1513" s="12"/>
      <c r="F1513" s="12"/>
    </row>
    <row r="1514" spans="1:6" ht="12.75">
      <c r="A1514" s="153" t="s">
        <v>50</v>
      </c>
      <c r="B1514" s="167">
        <f t="shared" si="26"/>
        <v>5678</v>
      </c>
      <c r="C1514" s="12"/>
      <c r="D1514" s="12">
        <v>3689</v>
      </c>
      <c r="E1514" s="12"/>
      <c r="F1514" s="12">
        <v>1989</v>
      </c>
    </row>
    <row r="1515" spans="1:6" ht="12.75">
      <c r="A1515" s="153" t="s">
        <v>52</v>
      </c>
      <c r="B1515" s="167">
        <f t="shared" si="26"/>
        <v>2426</v>
      </c>
      <c r="C1515" s="12">
        <v>1764</v>
      </c>
      <c r="D1515" s="12"/>
      <c r="E1515" s="12"/>
      <c r="F1515" s="12">
        <v>662</v>
      </c>
    </row>
    <row r="1516" spans="1:6" ht="22.5">
      <c r="A1516" s="153" t="s">
        <v>225</v>
      </c>
      <c r="B1516" s="167">
        <f t="shared" si="26"/>
        <v>524.16</v>
      </c>
      <c r="C1516" s="12">
        <v>524.16</v>
      </c>
      <c r="D1516" s="12"/>
      <c r="E1516" s="12"/>
      <c r="F1516" s="12"/>
    </row>
    <row r="1517" spans="1:6" ht="12.75">
      <c r="A1517" s="153" t="s">
        <v>27</v>
      </c>
      <c r="B1517" s="167">
        <f t="shared" si="26"/>
        <v>415</v>
      </c>
      <c r="C1517" s="12"/>
      <c r="D1517" s="12"/>
      <c r="E1517" s="12">
        <v>340</v>
      </c>
      <c r="F1517" s="12">
        <v>75</v>
      </c>
    </row>
    <row r="1518" spans="1:6" ht="12.75">
      <c r="A1518" s="153" t="s">
        <v>453</v>
      </c>
      <c r="B1518" s="167">
        <f t="shared" si="26"/>
        <v>919</v>
      </c>
      <c r="C1518" s="12"/>
      <c r="D1518" s="12"/>
      <c r="E1518" s="12"/>
      <c r="F1518" s="12">
        <v>919</v>
      </c>
    </row>
    <row r="1519" spans="1:6" ht="22.5">
      <c r="A1519" s="153" t="s">
        <v>504</v>
      </c>
      <c r="B1519" s="167">
        <f t="shared" si="26"/>
        <v>10600</v>
      </c>
      <c r="C1519" s="12"/>
      <c r="D1519" s="12"/>
      <c r="E1519" s="12"/>
      <c r="F1519" s="12">
        <v>10600</v>
      </c>
    </row>
    <row r="1520" spans="1:6" ht="12.75">
      <c r="A1520" s="153" t="s">
        <v>47</v>
      </c>
      <c r="B1520" s="167">
        <f t="shared" si="26"/>
        <v>750</v>
      </c>
      <c r="C1520" s="12">
        <v>750</v>
      </c>
      <c r="D1520" s="12"/>
      <c r="E1520" s="12"/>
      <c r="F1520" s="12"/>
    </row>
    <row r="1521" spans="1:6" ht="12.75">
      <c r="A1521" s="153" t="s">
        <v>64</v>
      </c>
      <c r="B1521" s="167">
        <f t="shared" si="26"/>
        <v>0</v>
      </c>
      <c r="C1521" s="12"/>
      <c r="D1521" s="12"/>
      <c r="E1521" s="12"/>
      <c r="F1521" s="12"/>
    </row>
    <row r="1522" spans="1:6" ht="12.75">
      <c r="A1522" s="153" t="s">
        <v>111</v>
      </c>
      <c r="B1522" s="167">
        <f t="shared" si="26"/>
        <v>756</v>
      </c>
      <c r="C1522" s="12">
        <v>756</v>
      </c>
      <c r="D1522" s="12"/>
      <c r="E1522" s="12"/>
      <c r="F1522" s="12"/>
    </row>
    <row r="1523" spans="1:6" ht="12.75">
      <c r="A1523" s="153" t="s">
        <v>49</v>
      </c>
      <c r="B1523" s="167">
        <f t="shared" si="26"/>
        <v>0</v>
      </c>
      <c r="C1523" s="12"/>
      <c r="D1523" s="12"/>
      <c r="E1523" s="12"/>
      <c r="F1523" s="12"/>
    </row>
    <row r="1524" spans="1:6" ht="12.75">
      <c r="A1524" s="153" t="s">
        <v>110</v>
      </c>
      <c r="B1524" s="167">
        <f t="shared" si="26"/>
        <v>0</v>
      </c>
      <c r="C1524" s="12"/>
      <c r="D1524" s="12"/>
      <c r="E1524" s="12"/>
      <c r="F1524" s="12"/>
    </row>
    <row r="1525" spans="1:6" ht="12.75">
      <c r="A1525" s="153" t="s">
        <v>497</v>
      </c>
      <c r="B1525" s="167">
        <f t="shared" si="26"/>
        <v>0</v>
      </c>
      <c r="C1525" s="12"/>
      <c r="D1525" s="12"/>
      <c r="E1525" s="12"/>
      <c r="F1525" s="30">
        <v>0</v>
      </c>
    </row>
    <row r="1526" spans="1:6" ht="12.75">
      <c r="A1526" s="153" t="s">
        <v>55</v>
      </c>
      <c r="B1526" s="167">
        <f t="shared" si="26"/>
        <v>0</v>
      </c>
      <c r="C1526" s="12"/>
      <c r="D1526" s="12"/>
      <c r="E1526" s="12"/>
      <c r="F1526" s="12"/>
    </row>
    <row r="1527" spans="1:6" ht="12.75">
      <c r="A1527" s="153" t="s">
        <v>134</v>
      </c>
      <c r="B1527" s="167">
        <f t="shared" si="26"/>
        <v>0</v>
      </c>
      <c r="C1527" s="12"/>
      <c r="D1527" s="12"/>
      <c r="E1527" s="12"/>
      <c r="F1527" s="12"/>
    </row>
    <row r="1528" spans="1:6" ht="12.75">
      <c r="A1528" s="153" t="s">
        <v>137</v>
      </c>
      <c r="B1528" s="167">
        <f t="shared" si="26"/>
        <v>40094</v>
      </c>
      <c r="C1528" s="12"/>
      <c r="D1528" s="12">
        <v>40094</v>
      </c>
      <c r="E1528" s="12"/>
      <c r="F1528" s="12"/>
    </row>
    <row r="1529" spans="1:6" ht="12.75">
      <c r="A1529" s="153" t="s">
        <v>66</v>
      </c>
      <c r="B1529" s="167">
        <f t="shared" si="26"/>
        <v>0</v>
      </c>
      <c r="C1529" s="12"/>
      <c r="D1529" s="12"/>
      <c r="E1529" s="12"/>
      <c r="F1529" s="12"/>
    </row>
    <row r="1530" spans="1:6" ht="12.75">
      <c r="A1530" s="155" t="s">
        <v>11</v>
      </c>
      <c r="B1530" s="167">
        <f t="shared" si="26"/>
        <v>278845.85516000004</v>
      </c>
      <c r="C1530" s="157">
        <f>C1508+C1509+C1510+C1511+C1512++C1513+C1514+C1515+C1516+C1517+C1518+C1519+C1520+C1521+C1522+C1523+C1524+C1525+C1526+C1527+C1528</f>
        <v>39574.786680000005</v>
      </c>
      <c r="D1530" s="157">
        <f>SUM(D1508:D1529)</f>
        <v>164648.31838</v>
      </c>
      <c r="E1530" s="12">
        <f>SUM(E1508:E1529)</f>
        <v>31024.965785</v>
      </c>
      <c r="F1530" s="12">
        <f>SUM(F1508:F1529)</f>
        <v>43597.784315</v>
      </c>
    </row>
    <row r="1531" spans="1:6" ht="12.75">
      <c r="A1531" s="155" t="s">
        <v>19</v>
      </c>
      <c r="B1531" s="167">
        <f t="shared" si="26"/>
        <v>0</v>
      </c>
      <c r="C1531" s="12"/>
      <c r="D1531" s="12"/>
      <c r="E1531" s="12"/>
      <c r="F1531" s="12"/>
    </row>
    <row r="1532" spans="1:6" ht="12.75">
      <c r="A1532" s="153" t="s">
        <v>38</v>
      </c>
      <c r="B1532" s="167">
        <f t="shared" si="26"/>
        <v>3074.3209759500005</v>
      </c>
      <c r="C1532" s="12">
        <f>0.218666*C1490</f>
        <v>799.6943619</v>
      </c>
      <c r="D1532" s="12">
        <f>0.210458*C1490</f>
        <v>769.6764747000001</v>
      </c>
      <c r="E1532" s="12">
        <f>0.167241*E1490</f>
        <v>611.6254231500001</v>
      </c>
      <c r="F1532" s="12">
        <f>0.244268*F1490</f>
        <v>893.3247162000001</v>
      </c>
    </row>
    <row r="1533" spans="1:6" ht="12.75">
      <c r="A1533" s="153" t="s">
        <v>39</v>
      </c>
      <c r="B1533" s="167">
        <f t="shared" si="26"/>
        <v>6096.172820850001</v>
      </c>
      <c r="C1533" s="12">
        <f>0.306583*C1490</f>
        <v>1121.22001845</v>
      </c>
      <c r="D1533" s="12">
        <f>0.0733554*C1490</f>
        <v>268.27170111000004</v>
      </c>
      <c r="E1533" s="12">
        <f>0.536065*E1490</f>
        <v>1960.47011475</v>
      </c>
      <c r="F1533" s="12">
        <f>0.7509156*F1490</f>
        <v>2746.2109865400002</v>
      </c>
    </row>
    <row r="1534" spans="1:6" ht="12.75">
      <c r="A1534" s="153" t="s">
        <v>32</v>
      </c>
      <c r="B1534" s="167">
        <f t="shared" si="26"/>
        <v>0</v>
      </c>
      <c r="C1534" s="12"/>
      <c r="D1534" s="12"/>
      <c r="E1534" s="12"/>
      <c r="F1534" s="12"/>
    </row>
    <row r="1535" spans="1:6" ht="12.75">
      <c r="A1535" s="153" t="s">
        <v>37</v>
      </c>
      <c r="B1535" s="167">
        <f t="shared" si="26"/>
        <v>7875.87293682</v>
      </c>
      <c r="C1535" s="12">
        <f>0.70476*C1490</f>
        <v>2577.413034</v>
      </c>
      <c r="D1535" s="12">
        <f>0.3731258*C1490</f>
        <v>1364.57701947</v>
      </c>
      <c r="E1535" s="12">
        <f>0.553205*E1490</f>
        <v>2023.1536657499998</v>
      </c>
      <c r="F1535" s="12">
        <f>0.522464*F1490</f>
        <v>1910.7292176</v>
      </c>
    </row>
    <row r="1536" spans="1:6" ht="12.75">
      <c r="A1536" s="153" t="s">
        <v>20</v>
      </c>
      <c r="B1536" s="167">
        <f t="shared" si="26"/>
        <v>2912.2909452000004</v>
      </c>
      <c r="C1536" s="12"/>
      <c r="D1536" s="12">
        <f>0.158142*C1490</f>
        <v>578.3490153</v>
      </c>
      <c r="E1536" s="12">
        <f>0.60489*E1490</f>
        <v>2212.1734635000003</v>
      </c>
      <c r="F1536" s="12">
        <f>0.033296*F1490</f>
        <v>121.7684664</v>
      </c>
    </row>
    <row r="1537" spans="1:6" ht="12.75">
      <c r="A1537" s="156" t="s">
        <v>11</v>
      </c>
      <c r="B1537" s="167">
        <f t="shared" si="26"/>
        <v>19958.65767882</v>
      </c>
      <c r="C1537" s="157">
        <f>C1532+C1533+C1534+C1535+C1536</f>
        <v>4498.32741435</v>
      </c>
      <c r="D1537" s="157">
        <f>SUM(D1532:D1536)</f>
        <v>2980.87421058</v>
      </c>
      <c r="E1537" s="12">
        <f>SUM(E1532:E1536)</f>
        <v>6807.42266715</v>
      </c>
      <c r="F1537" s="12">
        <f>SUM(F1532:F1536)</f>
        <v>5672.03338674</v>
      </c>
    </row>
    <row r="1538" spans="1:6" ht="12.75">
      <c r="A1538" s="153" t="s">
        <v>101</v>
      </c>
      <c r="B1538" s="167">
        <f t="shared" si="26"/>
        <v>2386.8159224</v>
      </c>
      <c r="C1538" s="157">
        <f>0.0644*C1490</f>
        <v>235.52046</v>
      </c>
      <c r="D1538" s="12">
        <v>203</v>
      </c>
      <c r="E1538" s="12">
        <f>0.10264*E1490</f>
        <v>375.369876</v>
      </c>
      <c r="F1538" s="12">
        <f>0.430096*F1490</f>
        <v>1572.9255864</v>
      </c>
    </row>
    <row r="1539" spans="1:6" ht="33.75">
      <c r="A1539" s="161" t="s">
        <v>21</v>
      </c>
      <c r="B1539" s="167">
        <f t="shared" si="26"/>
        <v>544873.12106357</v>
      </c>
      <c r="C1539" s="157">
        <f>C1506+C1530+C1537+C1538</f>
        <v>100568.15165935</v>
      </c>
      <c r="D1539" s="157">
        <f>D1506+D1530+D1537+D1538</f>
        <v>226776.15139058</v>
      </c>
      <c r="E1539" s="12">
        <f>E1506+E1530+E1537</f>
        <v>105715.02954215</v>
      </c>
      <c r="F1539" s="12">
        <f>F1506+F1530+F1537+F1538</f>
        <v>111813.78847149</v>
      </c>
    </row>
    <row r="1540" spans="1:6" ht="45">
      <c r="A1540" s="161" t="s">
        <v>22</v>
      </c>
      <c r="B1540" s="168">
        <f>B1539/12/C1490</f>
        <v>12.415704420645632</v>
      </c>
      <c r="C1540" s="172">
        <f>C1539/C1490/3</f>
        <v>9.16635008675699</v>
      </c>
      <c r="D1540" s="13">
        <f>D1539/3/C1490</f>
        <v>20.669660928189074</v>
      </c>
      <c r="E1540" s="13">
        <f>E1539/3/C1490</f>
        <v>9.635465644208377</v>
      </c>
      <c r="F1540" s="13">
        <f>F1539/3/C1490</f>
        <v>10.19134102342808</v>
      </c>
    </row>
    <row r="1541" spans="1:6" ht="12.75">
      <c r="A1541" s="163" t="s">
        <v>34</v>
      </c>
      <c r="B1541" s="154">
        <f>B1494-B1539</f>
        <v>-123745.85106357001</v>
      </c>
      <c r="C1541" s="165">
        <f>C1494-C1539</f>
        <v>-22911.62165935</v>
      </c>
      <c r="D1541" s="12">
        <f>D1494-D1539-22912</f>
        <v>-109536.95139057998</v>
      </c>
      <c r="E1541" s="12">
        <f>E1494-E1539-109537</f>
        <v>-110980.07954215001</v>
      </c>
      <c r="F1541" s="12">
        <f>F1494-F1539-110980</f>
        <v>-123746.19847149</v>
      </c>
    </row>
    <row r="1542" spans="1:6" ht="12.75">
      <c r="A1542" s="29" t="s">
        <v>44</v>
      </c>
      <c r="B1542" s="29"/>
      <c r="C1542" s="29"/>
      <c r="D1542" s="29"/>
      <c r="E1542" s="29"/>
      <c r="F1542" s="29"/>
    </row>
    <row r="1543" spans="1:6" ht="12.75">
      <c r="A1543" s="29" t="s">
        <v>579</v>
      </c>
      <c r="B1543" s="29"/>
      <c r="C1543" s="29"/>
      <c r="D1543" s="29"/>
      <c r="E1543" s="29"/>
      <c r="F1543" s="29"/>
    </row>
    <row r="1544" spans="1:6" ht="12.75">
      <c r="A1544" s="29" t="s">
        <v>45</v>
      </c>
      <c r="B1544" s="29"/>
      <c r="C1544" s="29"/>
      <c r="D1544" s="29"/>
      <c r="E1544" s="29"/>
      <c r="F1544" s="29"/>
    </row>
    <row r="1545" spans="1:6" ht="280.5" customHeight="1">
      <c r="A1545" s="29"/>
      <c r="B1545" s="29"/>
      <c r="C1545" s="29"/>
      <c r="D1545" s="29"/>
      <c r="E1545" s="29"/>
      <c r="F1545" s="29"/>
    </row>
    <row r="1546" spans="1:6" ht="12.75">
      <c r="A1546" s="120" t="s">
        <v>35</v>
      </c>
      <c r="B1546" s="120"/>
      <c r="C1546" s="29"/>
      <c r="D1546" s="29"/>
      <c r="E1546" s="29"/>
      <c r="F1546" s="29"/>
    </row>
    <row r="1547" spans="1:6" ht="12.75">
      <c r="A1547" s="29" t="s">
        <v>616</v>
      </c>
      <c r="B1547" s="29"/>
      <c r="C1547" s="29"/>
      <c r="D1547" s="29"/>
      <c r="E1547" s="29"/>
      <c r="F1547" s="29"/>
    </row>
    <row r="1548" spans="1:6" ht="12.75">
      <c r="A1548" s="29" t="s">
        <v>224</v>
      </c>
      <c r="B1548" s="29"/>
      <c r="C1548" s="29"/>
      <c r="D1548" s="29"/>
      <c r="E1548" s="29"/>
      <c r="F1548" s="29"/>
    </row>
    <row r="1549" spans="1:6" ht="12.75">
      <c r="A1549" s="29" t="s">
        <v>608</v>
      </c>
      <c r="B1549" s="29"/>
      <c r="C1549" s="29"/>
      <c r="D1549" s="29"/>
      <c r="E1549" s="29" t="s">
        <v>340</v>
      </c>
      <c r="F1549" s="29"/>
    </row>
    <row r="1550" spans="1:6" ht="12.75">
      <c r="A1550" s="10" t="s">
        <v>1</v>
      </c>
      <c r="B1550" s="10" t="s">
        <v>11</v>
      </c>
      <c r="C1550" s="10" t="s">
        <v>86</v>
      </c>
      <c r="D1550" s="10" t="s">
        <v>87</v>
      </c>
      <c r="E1550" s="10" t="s">
        <v>120</v>
      </c>
      <c r="F1550" s="10" t="s">
        <v>141</v>
      </c>
    </row>
    <row r="1551" spans="1:6" ht="12.75">
      <c r="A1551" s="22" t="s">
        <v>6</v>
      </c>
      <c r="B1551" s="22"/>
      <c r="C1551" s="10"/>
      <c r="D1551" s="5"/>
      <c r="E1551" s="5"/>
      <c r="F1551" s="5"/>
    </row>
    <row r="1552" spans="1:6" ht="12.75">
      <c r="A1552" s="5" t="s">
        <v>2</v>
      </c>
      <c r="B1552" s="5"/>
      <c r="C1552" s="10">
        <v>5</v>
      </c>
      <c r="D1552" s="5"/>
      <c r="E1552" s="5"/>
      <c r="F1552" s="5"/>
    </row>
    <row r="1553" spans="1:6" ht="12.75">
      <c r="A1553" s="5" t="s">
        <v>3</v>
      </c>
      <c r="B1553" s="5"/>
      <c r="C1553" s="10">
        <v>6</v>
      </c>
      <c r="D1553" s="5"/>
      <c r="E1553" s="5"/>
      <c r="F1553" s="5"/>
    </row>
    <row r="1554" spans="1:6" ht="12.75">
      <c r="A1554" s="5" t="s">
        <v>4</v>
      </c>
      <c r="B1554" s="5"/>
      <c r="C1554" s="10">
        <v>61</v>
      </c>
      <c r="D1554" s="5"/>
      <c r="E1554" s="5"/>
      <c r="F1554" s="5"/>
    </row>
    <row r="1555" spans="1:6" ht="12.75">
      <c r="A1555" s="5" t="s">
        <v>5</v>
      </c>
      <c r="B1555" s="10">
        <v>3613.94</v>
      </c>
      <c r="C1555" s="10">
        <v>3613.94</v>
      </c>
      <c r="D1555" s="10">
        <v>3613.94</v>
      </c>
      <c r="E1555" s="10">
        <v>3613.94</v>
      </c>
      <c r="F1555" s="10">
        <v>3613.94</v>
      </c>
    </row>
    <row r="1556" spans="1:6" ht="22.5">
      <c r="A1556" s="150" t="s">
        <v>7</v>
      </c>
      <c r="B1556" s="150"/>
      <c r="C1556" s="5" t="s">
        <v>36</v>
      </c>
      <c r="D1556" s="5"/>
      <c r="E1556" s="5"/>
      <c r="F1556" s="5"/>
    </row>
    <row r="1557" spans="1:6" ht="22.5">
      <c r="A1557" s="151" t="s">
        <v>8</v>
      </c>
      <c r="B1557" s="6">
        <f>C1557+D1557+E1557+F1557</f>
        <v>382549.56999999995</v>
      </c>
      <c r="C1557" s="10">
        <v>104401.2</v>
      </c>
      <c r="D1557" s="10">
        <v>94588.03</v>
      </c>
      <c r="E1557" s="10">
        <v>119835</v>
      </c>
      <c r="F1557" s="10">
        <v>63725.34</v>
      </c>
    </row>
    <row r="1558" spans="1:6" ht="22.5">
      <c r="A1558" s="153" t="s">
        <v>9</v>
      </c>
      <c r="B1558" s="6">
        <f>C1558+D1558+E1558+F1558</f>
        <v>18906.07</v>
      </c>
      <c r="C1558" s="10">
        <v>1241.35</v>
      </c>
      <c r="D1558" s="10">
        <v>6006.57</v>
      </c>
      <c r="E1558" s="10">
        <v>3684.02</v>
      </c>
      <c r="F1558" s="10">
        <v>7974.13</v>
      </c>
    </row>
    <row r="1559" spans="1:6" ht="12.75">
      <c r="A1559" s="5" t="s">
        <v>11</v>
      </c>
      <c r="B1559" s="150">
        <f>C1559+D1559+E1559+F1559</f>
        <v>401455.64</v>
      </c>
      <c r="C1559" s="22">
        <f>C1557+C1558</f>
        <v>105642.55</v>
      </c>
      <c r="D1559" s="22">
        <f>SUM(D1557:D1558)</f>
        <v>100594.6</v>
      </c>
      <c r="E1559" s="22">
        <f>SUM(E1557:E1558)</f>
        <v>123519.02</v>
      </c>
      <c r="F1559" s="22">
        <f>SUM(F1557:F1558)</f>
        <v>71699.47</v>
      </c>
    </row>
    <row r="1560" spans="1:6" ht="22.5">
      <c r="A1560" s="150" t="s">
        <v>12</v>
      </c>
      <c r="B1560" s="150"/>
      <c r="C1560" s="5"/>
      <c r="D1560" s="5"/>
      <c r="E1560" s="5"/>
      <c r="F1560" s="5"/>
    </row>
    <row r="1561" spans="1:7" ht="12.75">
      <c r="A1561" s="156" t="s">
        <v>13</v>
      </c>
      <c r="B1561" s="166">
        <f>C1561+D1561+E1561+F1561</f>
        <v>114117.27134786</v>
      </c>
      <c r="C1561" s="157">
        <f>7.5947*C1555</f>
        <v>27446.790117999997</v>
      </c>
      <c r="D1561" s="157">
        <f>7.632*C1555</f>
        <v>27581.590079999998</v>
      </c>
      <c r="E1561" s="157">
        <f>8.5526*E1555</f>
        <v>30908.583244</v>
      </c>
      <c r="F1561" s="157">
        <f>7.797669*F1555</f>
        <v>28180.30790586</v>
      </c>
      <c r="G1561" s="8"/>
    </row>
    <row r="1562" spans="1:6" ht="21.75">
      <c r="A1562" s="156" t="s">
        <v>14</v>
      </c>
      <c r="B1562" s="167">
        <f aca="true" t="shared" si="27" ref="B1562:B1600">C1562+D1562+E1562+F1562</f>
        <v>0</v>
      </c>
      <c r="C1562" s="12"/>
      <c r="D1562" s="12"/>
      <c r="E1562" s="12"/>
      <c r="F1562" s="12"/>
    </row>
    <row r="1563" spans="1:6" ht="12.75">
      <c r="A1563" s="153" t="s">
        <v>15</v>
      </c>
      <c r="B1563" s="167">
        <f t="shared" si="27"/>
        <v>130544.78</v>
      </c>
      <c r="C1563" s="12">
        <f>C1564+C1566</f>
        <v>28342.86</v>
      </c>
      <c r="D1563" s="12">
        <f>D1564+D1566+D1567+D1568+D1569+D1570</f>
        <v>31665.27</v>
      </c>
      <c r="E1563" s="12">
        <f>E1564+E1566+E1567+E1568+E1569+E1570</f>
        <v>38008.5</v>
      </c>
      <c r="F1563" s="12">
        <f>F1564+F1566+F1567+F1568+F1569+F1570</f>
        <v>32528.15</v>
      </c>
    </row>
    <row r="1564" spans="1:6" ht="12.75">
      <c r="A1564" s="158" t="s">
        <v>16</v>
      </c>
      <c r="B1564" s="167">
        <f t="shared" si="27"/>
        <v>119798</v>
      </c>
      <c r="C1564" s="165">
        <v>28128</v>
      </c>
      <c r="D1564" s="12">
        <v>26887</v>
      </c>
      <c r="E1564" s="12">
        <v>34076</v>
      </c>
      <c r="F1564" s="12">
        <v>30707</v>
      </c>
    </row>
    <row r="1565" spans="1:6" ht="12.75">
      <c r="A1565" s="153" t="s">
        <v>33</v>
      </c>
      <c r="B1565" s="167">
        <f t="shared" si="27"/>
        <v>77497.51000000001</v>
      </c>
      <c r="C1565" s="165">
        <v>16261.51</v>
      </c>
      <c r="D1565" s="12">
        <v>18040</v>
      </c>
      <c r="E1565" s="12">
        <v>21598</v>
      </c>
      <c r="F1565" s="12">
        <v>21598</v>
      </c>
    </row>
    <row r="1566" spans="1:6" ht="12.75">
      <c r="A1566" s="153" t="s">
        <v>24</v>
      </c>
      <c r="B1566" s="167">
        <f t="shared" si="27"/>
        <v>2136.88</v>
      </c>
      <c r="C1566" s="12">
        <v>214.86</v>
      </c>
      <c r="D1566" s="12">
        <v>515.87</v>
      </c>
      <c r="E1566" s="12">
        <v>695</v>
      </c>
      <c r="F1566" s="12">
        <v>711.15</v>
      </c>
    </row>
    <row r="1567" spans="1:6" ht="12.75">
      <c r="A1567" s="153" t="s">
        <v>17</v>
      </c>
      <c r="B1567" s="167">
        <f t="shared" si="27"/>
        <v>0</v>
      </c>
      <c r="C1567" s="12"/>
      <c r="D1567" s="12"/>
      <c r="E1567" s="12"/>
      <c r="F1567" s="12"/>
    </row>
    <row r="1568" spans="1:6" ht="12.75">
      <c r="A1568" s="153" t="s">
        <v>277</v>
      </c>
      <c r="B1568" s="167">
        <f t="shared" si="27"/>
        <v>1386</v>
      </c>
      <c r="C1568" s="12"/>
      <c r="D1568" s="12">
        <v>1386</v>
      </c>
      <c r="E1568" s="12"/>
      <c r="F1568" s="12"/>
    </row>
    <row r="1569" spans="1:6" ht="12.75">
      <c r="A1569" s="153" t="s">
        <v>65</v>
      </c>
      <c r="B1569" s="167">
        <f t="shared" si="27"/>
        <v>559.9</v>
      </c>
      <c r="C1569" s="12"/>
      <c r="D1569" s="12">
        <v>297.4</v>
      </c>
      <c r="E1569" s="12">
        <v>262.5</v>
      </c>
      <c r="F1569" s="12"/>
    </row>
    <row r="1570" spans="1:6" ht="12.75">
      <c r="A1570" s="153" t="s">
        <v>506</v>
      </c>
      <c r="B1570" s="167">
        <f t="shared" si="27"/>
        <v>6664</v>
      </c>
      <c r="C1570" s="12"/>
      <c r="D1570" s="12">
        <v>2579</v>
      </c>
      <c r="E1570" s="12">
        <v>2975</v>
      </c>
      <c r="F1570" s="12">
        <v>1110</v>
      </c>
    </row>
    <row r="1571" spans="1:6" ht="12.75">
      <c r="A1571" s="155" t="s">
        <v>11</v>
      </c>
      <c r="B1571" s="166">
        <f t="shared" si="27"/>
        <v>244662.05134786002</v>
      </c>
      <c r="C1571" s="157">
        <f>C1561+C1563</f>
        <v>55789.650118</v>
      </c>
      <c r="D1571" s="157">
        <f>D1561+D1563</f>
        <v>59246.86008</v>
      </c>
      <c r="E1571" s="157">
        <f>E1561+E1563</f>
        <v>68917.08324400001</v>
      </c>
      <c r="F1571" s="157">
        <f>F1561+F1563</f>
        <v>60708.45790586001</v>
      </c>
    </row>
    <row r="1572" spans="1:6" ht="21.75">
      <c r="A1572" s="159" t="s">
        <v>18</v>
      </c>
      <c r="B1572" s="167">
        <f t="shared" si="27"/>
        <v>0</v>
      </c>
      <c r="C1572" s="12"/>
      <c r="D1572" s="12"/>
      <c r="E1572" s="12"/>
      <c r="F1572" s="12"/>
    </row>
    <row r="1573" spans="1:6" ht="12.75">
      <c r="A1573" s="153" t="s">
        <v>23</v>
      </c>
      <c r="B1573" s="167">
        <f t="shared" si="27"/>
        <v>88623.566438</v>
      </c>
      <c r="C1573" s="165">
        <f>5.3352*C1555</f>
        <v>19281.092688</v>
      </c>
      <c r="D1573" s="12">
        <f>6.1735*C1555</f>
        <v>22310.65859</v>
      </c>
      <c r="E1573" s="12">
        <f>6.4099*E1555</f>
        <v>23164.994006</v>
      </c>
      <c r="F1573" s="12">
        <f>6.6041*F1555</f>
        <v>23866.821154</v>
      </c>
    </row>
    <row r="1574" spans="1:6" ht="12.75">
      <c r="A1574" s="153" t="s">
        <v>507</v>
      </c>
      <c r="B1574" s="167">
        <f t="shared" si="27"/>
        <v>68047.2</v>
      </c>
      <c r="C1574" s="12"/>
      <c r="D1574" s="12">
        <v>42119</v>
      </c>
      <c r="E1574" s="12">
        <v>24922</v>
      </c>
      <c r="F1574" s="12">
        <v>1006.2</v>
      </c>
    </row>
    <row r="1575" spans="1:6" ht="12.75">
      <c r="A1575" s="153" t="s">
        <v>135</v>
      </c>
      <c r="B1575" s="167">
        <f t="shared" si="27"/>
        <v>0</v>
      </c>
      <c r="C1575" s="12"/>
      <c r="D1575" s="12"/>
      <c r="E1575" s="12"/>
      <c r="F1575" s="12"/>
    </row>
    <row r="1576" spans="1:6" ht="12.75">
      <c r="A1576" s="153" t="s">
        <v>390</v>
      </c>
      <c r="B1576" s="167">
        <f t="shared" si="27"/>
        <v>35839</v>
      </c>
      <c r="C1576" s="12">
        <v>1848</v>
      </c>
      <c r="D1576" s="12">
        <v>5765</v>
      </c>
      <c r="E1576" s="12">
        <v>12108</v>
      </c>
      <c r="F1576" s="12">
        <v>16118</v>
      </c>
    </row>
    <row r="1577" spans="1:6" ht="12.75">
      <c r="A1577" s="153" t="s">
        <v>28</v>
      </c>
      <c r="B1577" s="167">
        <f t="shared" si="27"/>
        <v>752</v>
      </c>
      <c r="C1577" s="12">
        <v>752</v>
      </c>
      <c r="D1577" s="12"/>
      <c r="E1577" s="12"/>
      <c r="F1577" s="12"/>
    </row>
    <row r="1578" spans="1:6" ht="12.75">
      <c r="A1578" s="153" t="s">
        <v>41</v>
      </c>
      <c r="B1578" s="167">
        <f t="shared" si="27"/>
        <v>7815</v>
      </c>
      <c r="C1578" s="12">
        <v>1823</v>
      </c>
      <c r="D1578" s="12">
        <v>1833</v>
      </c>
      <c r="E1578" s="12">
        <v>4159</v>
      </c>
      <c r="F1578" s="12"/>
    </row>
    <row r="1579" spans="1:6" ht="12.75">
      <c r="A1579" s="153" t="s">
        <v>50</v>
      </c>
      <c r="B1579" s="167">
        <f t="shared" si="27"/>
        <v>36300.3</v>
      </c>
      <c r="C1579" s="12"/>
      <c r="D1579" s="12">
        <v>2690</v>
      </c>
      <c r="E1579" s="12"/>
      <c r="F1579" s="12">
        <v>33610.3</v>
      </c>
    </row>
    <row r="1580" spans="1:6" ht="12.75">
      <c r="A1580" s="153" t="s">
        <v>52</v>
      </c>
      <c r="B1580" s="167">
        <f t="shared" si="27"/>
        <v>3220</v>
      </c>
      <c r="C1580" s="12">
        <v>3220</v>
      </c>
      <c r="D1580" s="12"/>
      <c r="E1580" s="12"/>
      <c r="F1580" s="12"/>
    </row>
    <row r="1581" spans="1:6" ht="22.5">
      <c r="A1581" s="153" t="s">
        <v>225</v>
      </c>
      <c r="B1581" s="167">
        <f t="shared" si="27"/>
        <v>517.98</v>
      </c>
      <c r="C1581" s="12">
        <v>517.98</v>
      </c>
      <c r="D1581" s="12"/>
      <c r="E1581" s="12"/>
      <c r="F1581" s="12"/>
    </row>
    <row r="1582" spans="1:6" ht="12.75">
      <c r="A1582" s="153" t="s">
        <v>27</v>
      </c>
      <c r="B1582" s="167">
        <f t="shared" si="27"/>
        <v>130</v>
      </c>
      <c r="C1582" s="12"/>
      <c r="D1582" s="12">
        <v>130</v>
      </c>
      <c r="E1582" s="12"/>
      <c r="F1582" s="12"/>
    </row>
    <row r="1583" spans="1:6" ht="12.75">
      <c r="A1583" s="153" t="s">
        <v>453</v>
      </c>
      <c r="B1583" s="167">
        <f t="shared" si="27"/>
        <v>908</v>
      </c>
      <c r="C1583" s="12"/>
      <c r="D1583" s="12"/>
      <c r="E1583" s="12"/>
      <c r="F1583" s="12">
        <v>908</v>
      </c>
    </row>
    <row r="1584" spans="1:6" ht="12.75">
      <c r="A1584" s="153" t="s">
        <v>47</v>
      </c>
      <c r="B1584" s="167">
        <f t="shared" si="27"/>
        <v>0</v>
      </c>
      <c r="C1584" s="12"/>
      <c r="D1584" s="12"/>
      <c r="E1584" s="12"/>
      <c r="F1584" s="12"/>
    </row>
    <row r="1585" spans="1:6" ht="22.5">
      <c r="A1585" s="153" t="s">
        <v>504</v>
      </c>
      <c r="B1585" s="167">
        <f t="shared" si="27"/>
        <v>10600</v>
      </c>
      <c r="C1585" s="12"/>
      <c r="D1585" s="12"/>
      <c r="E1585" s="12"/>
      <c r="F1585" s="12">
        <v>10600</v>
      </c>
    </row>
    <row r="1586" spans="1:6" ht="12.75">
      <c r="A1586" s="153" t="s">
        <v>497</v>
      </c>
      <c r="B1586" s="167">
        <f t="shared" si="27"/>
        <v>0</v>
      </c>
      <c r="C1586" s="12"/>
      <c r="D1586" s="12"/>
      <c r="E1586" s="12"/>
      <c r="F1586" s="30">
        <v>0</v>
      </c>
    </row>
    <row r="1587" spans="1:6" ht="12.75">
      <c r="A1587" s="153" t="s">
        <v>49</v>
      </c>
      <c r="B1587" s="167">
        <f t="shared" si="27"/>
        <v>51</v>
      </c>
      <c r="C1587" s="12"/>
      <c r="D1587" s="12">
        <v>51</v>
      </c>
      <c r="E1587" s="12"/>
      <c r="F1587" s="12"/>
    </row>
    <row r="1588" spans="1:6" ht="12.75">
      <c r="A1588" s="153" t="s">
        <v>54</v>
      </c>
      <c r="B1588" s="167">
        <f t="shared" si="27"/>
        <v>0</v>
      </c>
      <c r="C1588" s="12"/>
      <c r="D1588" s="12"/>
      <c r="E1588" s="12"/>
      <c r="F1588" s="12"/>
    </row>
    <row r="1589" spans="1:6" ht="12.75">
      <c r="A1589" s="153" t="s">
        <v>55</v>
      </c>
      <c r="B1589" s="167">
        <f t="shared" si="27"/>
        <v>0</v>
      </c>
      <c r="C1589" s="12"/>
      <c r="D1589" s="12"/>
      <c r="E1589" s="12"/>
      <c r="F1589" s="12"/>
    </row>
    <row r="1590" spans="1:6" ht="12.75">
      <c r="A1590" s="153" t="s">
        <v>279</v>
      </c>
      <c r="B1590" s="167">
        <f t="shared" si="27"/>
        <v>820</v>
      </c>
      <c r="C1590" s="12"/>
      <c r="D1590" s="12">
        <v>820</v>
      </c>
      <c r="E1590" s="12"/>
      <c r="F1590" s="12"/>
    </row>
    <row r="1591" spans="1:6" ht="12.75">
      <c r="A1591" s="153" t="s">
        <v>115</v>
      </c>
      <c r="B1591" s="167">
        <f t="shared" si="27"/>
        <v>111088</v>
      </c>
      <c r="C1591" s="12"/>
      <c r="D1591" s="12"/>
      <c r="E1591" s="30">
        <v>111088</v>
      </c>
      <c r="F1591" s="12"/>
    </row>
    <row r="1592" spans="1:6" ht="12.75">
      <c r="A1592" s="155" t="s">
        <v>11</v>
      </c>
      <c r="B1592" s="166">
        <f t="shared" si="27"/>
        <v>364712.046438</v>
      </c>
      <c r="C1592" s="157">
        <f>C1573+C1574+C1575+C1576+C1577+C1578+C1579+C1580+C1581+C1582+C1583+C1584+C1585+C1586+C1587+C1588+C1589+C1590+C1591</f>
        <v>27442.072688</v>
      </c>
      <c r="D1592" s="157">
        <f>SUM(D1573:D1591)</f>
        <v>75718.65859</v>
      </c>
      <c r="E1592" s="157">
        <f>SUM(E1573:E1591)</f>
        <v>175441.994006</v>
      </c>
      <c r="F1592" s="157">
        <f>SUM(F1573:F1591)</f>
        <v>86109.321154</v>
      </c>
    </row>
    <row r="1593" spans="1:6" ht="12.75">
      <c r="A1593" s="155" t="s">
        <v>19</v>
      </c>
      <c r="B1593" s="167">
        <f t="shared" si="27"/>
        <v>0</v>
      </c>
      <c r="C1593" s="12"/>
      <c r="D1593" s="12"/>
      <c r="E1593" s="12"/>
      <c r="F1593" s="12"/>
    </row>
    <row r="1594" spans="1:6" ht="12.75">
      <c r="A1594" s="153" t="s">
        <v>38</v>
      </c>
      <c r="B1594" s="167">
        <f t="shared" si="27"/>
        <v>3037.9972240200004</v>
      </c>
      <c r="C1594" s="12">
        <f>0.218666*C1555</f>
        <v>790.24580404</v>
      </c>
      <c r="D1594" s="12">
        <f>0.210458*C1555</f>
        <v>760.5825845200001</v>
      </c>
      <c r="E1594" s="12">
        <f>0.167241*E1555</f>
        <v>604.39893954</v>
      </c>
      <c r="F1594" s="12">
        <f>0.244268*F1555</f>
        <v>882.7698959200001</v>
      </c>
    </row>
    <row r="1595" spans="1:6" ht="12.75">
      <c r="A1595" s="153" t="s">
        <v>39</v>
      </c>
      <c r="B1595" s="167">
        <f t="shared" si="27"/>
        <v>6024.1452508600005</v>
      </c>
      <c r="C1595" s="12">
        <f>0.306583*C1555</f>
        <v>1107.97256702</v>
      </c>
      <c r="D1595" s="12">
        <f>0.0733554*C1555</f>
        <v>265.10201427600003</v>
      </c>
      <c r="E1595" s="12">
        <f>0.536065*E1555</f>
        <v>1937.3067461</v>
      </c>
      <c r="F1595" s="12">
        <f>0.7509156*F1555</f>
        <v>2713.763923464</v>
      </c>
    </row>
    <row r="1596" spans="1:6" ht="12.75">
      <c r="A1596" s="153" t="s">
        <v>32</v>
      </c>
      <c r="B1596" s="167">
        <f t="shared" si="27"/>
        <v>0</v>
      </c>
      <c r="C1596" s="12"/>
      <c r="D1596" s="12"/>
      <c r="E1596" s="12"/>
      <c r="F1596" s="12"/>
    </row>
    <row r="1597" spans="1:6" ht="12.75">
      <c r="A1597" s="153" t="s">
        <v>37</v>
      </c>
      <c r="B1597" s="167">
        <f t="shared" si="27"/>
        <v>7782.817833912</v>
      </c>
      <c r="C1597" s="12">
        <f>0.70476*C1555</f>
        <v>2546.9603544</v>
      </c>
      <c r="D1597" s="12">
        <f>0.3731258*C1555</f>
        <v>1348.454253652</v>
      </c>
      <c r="E1597" s="12">
        <f>0.553205*E1555</f>
        <v>1999.2496777</v>
      </c>
      <c r="F1597" s="12">
        <f>0.522464*F1555</f>
        <v>1888.1535481600001</v>
      </c>
    </row>
    <row r="1598" spans="1:6" ht="12.75">
      <c r="A1598" s="153" t="s">
        <v>20</v>
      </c>
      <c r="B1598" s="167">
        <f t="shared" si="27"/>
        <v>2877.8816123200004</v>
      </c>
      <c r="C1598" s="12"/>
      <c r="D1598" s="12">
        <f>0.158142*C1555</f>
        <v>571.5156994800001</v>
      </c>
      <c r="E1598" s="12">
        <f>0.60489*E1555</f>
        <v>2186.0361666000003</v>
      </c>
      <c r="F1598" s="12">
        <f>0.033296*F1555</f>
        <v>120.32974624</v>
      </c>
    </row>
    <row r="1599" spans="1:6" ht="12.75">
      <c r="A1599" s="156" t="s">
        <v>11</v>
      </c>
      <c r="B1599" s="166">
        <f t="shared" si="27"/>
        <v>19722.841921112</v>
      </c>
      <c r="C1599" s="157">
        <f>C1594+C1595+C1596+C1597+C1598</f>
        <v>4445.17872546</v>
      </c>
      <c r="D1599" s="157">
        <f>SUM(D1594:D1598)</f>
        <v>2945.654551928</v>
      </c>
      <c r="E1599" s="157">
        <f>SUM(E1594:E1598)</f>
        <v>6726.99152994</v>
      </c>
      <c r="F1599" s="157">
        <f>SUM(F1594:F1598)</f>
        <v>5605.017113784</v>
      </c>
    </row>
    <row r="1600" spans="1:6" ht="12.75">
      <c r="A1600" s="153" t="s">
        <v>101</v>
      </c>
      <c r="B1600" s="167">
        <f t="shared" si="27"/>
        <v>2358.01367584</v>
      </c>
      <c r="C1600" s="157">
        <f>0.0644*C1555</f>
        <v>232.737736</v>
      </c>
      <c r="D1600" s="12">
        <v>200</v>
      </c>
      <c r="E1600" s="12">
        <f>0.10264*E1555</f>
        <v>370.9348016</v>
      </c>
      <c r="F1600" s="12">
        <f>0.430096*F1555</f>
        <v>1554.34113824</v>
      </c>
    </row>
    <row r="1601" spans="1:6" ht="33.75">
      <c r="A1601" s="161" t="s">
        <v>21</v>
      </c>
      <c r="B1601" s="166">
        <f>B1571+B1592+B1599+B1600</f>
        <v>631454.9533828121</v>
      </c>
      <c r="C1601" s="166">
        <f>C1571+C1592+C1599+C1600</f>
        <v>87909.63926746</v>
      </c>
      <c r="D1601" s="166">
        <f>D1571+D1592+D1599+D1600</f>
        <v>138111.173221928</v>
      </c>
      <c r="E1601" s="166">
        <f>E1571+E1592+E1599+E1600</f>
        <v>251457.00358154</v>
      </c>
      <c r="F1601" s="166">
        <f>F1571+F1592+F1599+F1600</f>
        <v>153977.13731188403</v>
      </c>
    </row>
    <row r="1602" spans="1:6" ht="45">
      <c r="A1602" s="161" t="s">
        <v>22</v>
      </c>
      <c r="B1602" s="162">
        <f>B1601/12/C1555</f>
        <v>14.560630811589107</v>
      </c>
      <c r="C1602" s="14">
        <f>C1601/C1555/3</f>
        <v>8.108383949139537</v>
      </c>
      <c r="D1602" s="14">
        <f>D1601/3/C1555</f>
        <v>12.738744345684395</v>
      </c>
      <c r="E1602" s="14">
        <f>E1601/3/C1555</f>
        <v>23.19324648274367</v>
      </c>
      <c r="F1602" s="14">
        <f>F1601/3/C1555</f>
        <v>14.202148468788822</v>
      </c>
    </row>
    <row r="1603" spans="1:6" ht="12.75">
      <c r="A1603" s="163" t="s">
        <v>34</v>
      </c>
      <c r="B1603" s="154">
        <f>B1559-B1601</f>
        <v>-229999.31338281208</v>
      </c>
      <c r="C1603" s="165">
        <f>C1559-C1601</f>
        <v>17732.910732539996</v>
      </c>
      <c r="D1603" s="165">
        <f>D1559-D1601+C1603</f>
        <v>-19783.662489388007</v>
      </c>
      <c r="E1603" s="12">
        <f>E1559-E1601-19784</f>
        <v>-147721.98358154</v>
      </c>
      <c r="F1603" s="12">
        <f>F1559-F1601-147722</f>
        <v>-229999.66731188403</v>
      </c>
    </row>
    <row r="1604" spans="1:6" ht="12.75">
      <c r="A1604" s="29" t="s">
        <v>44</v>
      </c>
      <c r="B1604" s="29"/>
      <c r="C1604" s="29"/>
      <c r="D1604" s="29"/>
      <c r="E1604" s="29"/>
      <c r="F1604" s="29"/>
    </row>
    <row r="1605" spans="1:6" ht="12.75">
      <c r="A1605" s="29" t="s">
        <v>579</v>
      </c>
      <c r="B1605" s="29"/>
      <c r="C1605" s="29"/>
      <c r="D1605" s="29"/>
      <c r="E1605" s="29"/>
      <c r="F1605" s="29"/>
    </row>
    <row r="1606" spans="1:6" ht="12.75">
      <c r="A1606" s="29" t="s">
        <v>45</v>
      </c>
      <c r="B1606" s="29"/>
      <c r="C1606" s="29"/>
      <c r="D1606" s="29"/>
      <c r="E1606" s="29"/>
      <c r="F1606" s="29"/>
    </row>
    <row r="1607" spans="1:6" ht="315" customHeight="1">
      <c r="A1607" s="29"/>
      <c r="B1607" s="29"/>
      <c r="C1607" s="29"/>
      <c r="D1607" s="29"/>
      <c r="E1607" s="29"/>
      <c r="F1607" s="29"/>
    </row>
    <row r="1608" spans="1:6" ht="12.75">
      <c r="A1608" s="120" t="s">
        <v>35</v>
      </c>
      <c r="B1608" s="120"/>
      <c r="C1608" s="29"/>
      <c r="D1608" s="29"/>
      <c r="E1608" s="29"/>
      <c r="F1608" s="29"/>
    </row>
    <row r="1609" spans="1:6" ht="12.75">
      <c r="A1609" s="29" t="s">
        <v>616</v>
      </c>
      <c r="B1609" s="29"/>
      <c r="C1609" s="29"/>
      <c r="D1609" s="29"/>
      <c r="E1609" s="29"/>
      <c r="F1609" s="29"/>
    </row>
    <row r="1610" spans="1:6" ht="12.75">
      <c r="A1610" s="29" t="s">
        <v>224</v>
      </c>
      <c r="B1610" s="29"/>
      <c r="C1610" s="29"/>
      <c r="D1610" s="29"/>
      <c r="E1610" s="29"/>
      <c r="F1610" s="29"/>
    </row>
    <row r="1611" spans="1:6" ht="12.75">
      <c r="A1611" s="29" t="s">
        <v>609</v>
      </c>
      <c r="B1611" s="29"/>
      <c r="C1611" s="29"/>
      <c r="D1611" s="29"/>
      <c r="E1611" s="29" t="s">
        <v>340</v>
      </c>
      <c r="F1611" s="29"/>
    </row>
    <row r="1612" spans="1:6" ht="12.75">
      <c r="A1612" s="10" t="s">
        <v>1</v>
      </c>
      <c r="B1612" s="10" t="s">
        <v>11</v>
      </c>
      <c r="C1612" s="10" t="s">
        <v>86</v>
      </c>
      <c r="D1612" s="10" t="s">
        <v>87</v>
      </c>
      <c r="E1612" s="10" t="s">
        <v>120</v>
      </c>
      <c r="F1612" s="10" t="s">
        <v>141</v>
      </c>
    </row>
    <row r="1613" spans="1:6" ht="12.75">
      <c r="A1613" s="22" t="s">
        <v>6</v>
      </c>
      <c r="B1613" s="22"/>
      <c r="C1613" s="10"/>
      <c r="D1613" s="5"/>
      <c r="E1613" s="5"/>
      <c r="F1613" s="5"/>
    </row>
    <row r="1614" spans="1:6" ht="12.75">
      <c r="A1614" s="5" t="s">
        <v>2</v>
      </c>
      <c r="B1614" s="5"/>
      <c r="C1614" s="10">
        <v>5</v>
      </c>
      <c r="D1614" s="5"/>
      <c r="E1614" s="5"/>
      <c r="F1614" s="5"/>
    </row>
    <row r="1615" spans="1:6" ht="12.75">
      <c r="A1615" s="5" t="s">
        <v>3</v>
      </c>
      <c r="B1615" s="5"/>
      <c r="C1615" s="10">
        <v>6</v>
      </c>
      <c r="D1615" s="5"/>
      <c r="E1615" s="5"/>
      <c r="F1615" s="5"/>
    </row>
    <row r="1616" spans="1:6" ht="12.75">
      <c r="A1616" s="5" t="s">
        <v>4</v>
      </c>
      <c r="B1616" s="5"/>
      <c r="C1616" s="10">
        <v>62</v>
      </c>
      <c r="D1616" s="5"/>
      <c r="E1616" s="5"/>
      <c r="F1616" s="5"/>
    </row>
    <row r="1617" spans="1:6" ht="12.75">
      <c r="A1617" s="5" t="s">
        <v>5</v>
      </c>
      <c r="B1617" s="10">
        <v>3619.08</v>
      </c>
      <c r="C1617" s="10">
        <v>3619.08</v>
      </c>
      <c r="D1617" s="10">
        <v>3619.08</v>
      </c>
      <c r="E1617" s="10">
        <v>3619.08</v>
      </c>
      <c r="F1617" s="10">
        <v>3619.08</v>
      </c>
    </row>
    <row r="1618" spans="1:6" ht="22.5">
      <c r="A1618" s="150" t="s">
        <v>7</v>
      </c>
      <c r="B1618" s="150"/>
      <c r="C1618" s="5" t="s">
        <v>36</v>
      </c>
      <c r="D1618" s="5"/>
      <c r="E1618" s="5"/>
      <c r="F1618" s="5"/>
    </row>
    <row r="1619" spans="1:6" ht="22.5">
      <c r="A1619" s="151" t="s">
        <v>8</v>
      </c>
      <c r="B1619" s="6">
        <f>C1619+D1619+E1619+F1619</f>
        <v>425107.52999999997</v>
      </c>
      <c r="C1619" s="10">
        <v>97469.44</v>
      </c>
      <c r="D1619" s="10">
        <v>124223.86</v>
      </c>
      <c r="E1619" s="10">
        <v>118616.18</v>
      </c>
      <c r="F1619" s="10">
        <v>84798.05</v>
      </c>
    </row>
    <row r="1620" spans="1:6" ht="22.5">
      <c r="A1620" s="153" t="s">
        <v>9</v>
      </c>
      <c r="B1620" s="6">
        <f>C1620+D1620+E1620+F1620</f>
        <v>0</v>
      </c>
      <c r="C1620" s="10">
        <v>0</v>
      </c>
      <c r="D1620" s="10">
        <v>0</v>
      </c>
      <c r="E1620" s="10">
        <v>0</v>
      </c>
      <c r="F1620" s="10">
        <v>0</v>
      </c>
    </row>
    <row r="1621" spans="1:6" ht="12.75">
      <c r="A1621" s="5" t="s">
        <v>11</v>
      </c>
      <c r="B1621" s="150">
        <f>C1621+D1621+E1621+F1621</f>
        <v>425107.52999999997</v>
      </c>
      <c r="C1621" s="22">
        <f>C1619+C1620</f>
        <v>97469.44</v>
      </c>
      <c r="D1621" s="22">
        <f>SUM(D1619:D1620)</f>
        <v>124223.86</v>
      </c>
      <c r="E1621" s="22">
        <f>SUM(E1619:E1620)</f>
        <v>118616.18</v>
      </c>
      <c r="F1621" s="22">
        <f>SUM(F1619:F1620)</f>
        <v>84798.05</v>
      </c>
    </row>
    <row r="1622" spans="1:6" ht="22.5">
      <c r="A1622" s="150" t="s">
        <v>12</v>
      </c>
      <c r="B1622" s="150"/>
      <c r="C1622" s="5"/>
      <c r="D1622" s="5"/>
      <c r="E1622" s="5"/>
      <c r="F1622" s="5"/>
    </row>
    <row r="1623" spans="1:7" ht="12.75">
      <c r="A1623" s="156" t="s">
        <v>13</v>
      </c>
      <c r="B1623" s="166">
        <f>C1623+D1623+E1623+F1623</f>
        <v>114279.57696852</v>
      </c>
      <c r="C1623" s="157">
        <f>7.5947*C1617</f>
        <v>27485.826876</v>
      </c>
      <c r="D1623" s="157">
        <f>7.632*C1617</f>
        <v>27620.81856</v>
      </c>
      <c r="E1623" s="157">
        <f>8.5526*E1617</f>
        <v>30952.543608</v>
      </c>
      <c r="F1623" s="157">
        <f>7.797669*F1617</f>
        <v>28220.38792452</v>
      </c>
      <c r="G1623" s="8"/>
    </row>
    <row r="1624" spans="1:6" ht="21.75">
      <c r="A1624" s="156" t="s">
        <v>14</v>
      </c>
      <c r="B1624" s="167">
        <f aca="true" t="shared" si="28" ref="B1624:B1666">C1624+D1624+E1624+F1624</f>
        <v>0</v>
      </c>
      <c r="C1624" s="12"/>
      <c r="D1624" s="12"/>
      <c r="E1624" s="12"/>
      <c r="F1624" s="12"/>
    </row>
    <row r="1625" spans="1:6" ht="12.75">
      <c r="A1625" s="153" t="s">
        <v>15</v>
      </c>
      <c r="B1625" s="167">
        <f t="shared" si="28"/>
        <v>131896.98</v>
      </c>
      <c r="C1625" s="12">
        <f>C1626+C1628</f>
        <v>28182.63</v>
      </c>
      <c r="D1625" s="12">
        <f>D1626+D1628+D1629+D1630+D1631+D1632</f>
        <v>33641.72</v>
      </c>
      <c r="E1625" s="12">
        <f>E1626+E1628+E1629+E1630+E1631+E1632</f>
        <v>38589.5</v>
      </c>
      <c r="F1625" s="12">
        <f>F1626+F1628+F1629+F1630+F1631+F1632</f>
        <v>31483.13</v>
      </c>
    </row>
    <row r="1626" spans="1:6" ht="12.75">
      <c r="A1626" s="158" t="s">
        <v>16</v>
      </c>
      <c r="B1626" s="167">
        <f t="shared" si="28"/>
        <v>119568</v>
      </c>
      <c r="C1626" s="165">
        <v>27971</v>
      </c>
      <c r="D1626" s="12">
        <v>26783</v>
      </c>
      <c r="E1626" s="12">
        <f>34095</f>
        <v>34095</v>
      </c>
      <c r="F1626" s="12">
        <f>30719</f>
        <v>30719</v>
      </c>
    </row>
    <row r="1627" spans="1:6" ht="12.75">
      <c r="A1627" s="153" t="s">
        <v>33</v>
      </c>
      <c r="B1627" s="167">
        <f t="shared" si="28"/>
        <v>77206.65</v>
      </c>
      <c r="C1627" s="165">
        <v>16086.65</v>
      </c>
      <c r="D1627" s="12">
        <v>17924</v>
      </c>
      <c r="E1627" s="12">
        <v>21598</v>
      </c>
      <c r="F1627" s="12">
        <v>21598</v>
      </c>
    </row>
    <row r="1628" spans="1:6" ht="12.75">
      <c r="A1628" s="153" t="s">
        <v>24</v>
      </c>
      <c r="B1628" s="167">
        <f t="shared" si="28"/>
        <v>2114.08</v>
      </c>
      <c r="C1628" s="12">
        <v>211.63</v>
      </c>
      <c r="D1628" s="12">
        <v>508.32</v>
      </c>
      <c r="E1628" s="30">
        <v>680</v>
      </c>
      <c r="F1628" s="12">
        <v>714.13</v>
      </c>
    </row>
    <row r="1629" spans="1:6" ht="12.75">
      <c r="A1629" s="153" t="s">
        <v>17</v>
      </c>
      <c r="B1629" s="167">
        <f t="shared" si="28"/>
        <v>0</v>
      </c>
      <c r="C1629" s="12"/>
      <c r="D1629" s="12"/>
      <c r="E1629" s="12"/>
      <c r="F1629" s="12"/>
    </row>
    <row r="1630" spans="1:6" ht="12.75">
      <c r="A1630" s="153" t="s">
        <v>280</v>
      </c>
      <c r="B1630" s="167">
        <f t="shared" si="28"/>
        <v>1445</v>
      </c>
      <c r="C1630" s="12"/>
      <c r="D1630" s="12">
        <v>1395</v>
      </c>
      <c r="E1630" s="12"/>
      <c r="F1630" s="12">
        <v>50</v>
      </c>
    </row>
    <row r="1631" spans="1:6" ht="12.75">
      <c r="A1631" s="153" t="s">
        <v>65</v>
      </c>
      <c r="B1631" s="167">
        <f t="shared" si="28"/>
        <v>559.9</v>
      </c>
      <c r="C1631" s="12"/>
      <c r="D1631" s="12">
        <v>297.4</v>
      </c>
      <c r="E1631" s="30">
        <v>262.5</v>
      </c>
      <c r="F1631" s="12"/>
    </row>
    <row r="1632" spans="1:6" ht="12.75">
      <c r="A1632" s="153" t="s">
        <v>401</v>
      </c>
      <c r="B1632" s="167">
        <f t="shared" si="28"/>
        <v>8210</v>
      </c>
      <c r="C1632" s="12"/>
      <c r="D1632" s="12">
        <v>4658</v>
      </c>
      <c r="E1632" s="12">
        <v>3552</v>
      </c>
      <c r="F1632" s="12"/>
    </row>
    <row r="1633" spans="1:6" ht="12.75">
      <c r="A1633" s="155" t="s">
        <v>11</v>
      </c>
      <c r="B1633" s="166">
        <f t="shared" si="28"/>
        <v>246176.55696852</v>
      </c>
      <c r="C1633" s="157">
        <f>C1623+C1625</f>
        <v>55668.456876</v>
      </c>
      <c r="D1633" s="157">
        <f>D1623+D1625</f>
        <v>61262.53856</v>
      </c>
      <c r="E1633" s="157">
        <f>E1623+E1625</f>
        <v>69542.043608</v>
      </c>
      <c r="F1633" s="157">
        <f>F1623+F1625</f>
        <v>59703.51792452</v>
      </c>
    </row>
    <row r="1634" spans="1:6" ht="21.75">
      <c r="A1634" s="159" t="s">
        <v>18</v>
      </c>
      <c r="B1634" s="167">
        <f t="shared" si="28"/>
        <v>0</v>
      </c>
      <c r="C1634" s="12"/>
      <c r="D1634" s="12"/>
      <c r="E1634" s="12"/>
      <c r="F1634" s="12"/>
    </row>
    <row r="1635" spans="1:6" ht="12.75">
      <c r="A1635" s="153" t="s">
        <v>23</v>
      </c>
      <c r="B1635" s="167">
        <f t="shared" si="28"/>
        <v>88749.613116</v>
      </c>
      <c r="C1635" s="165">
        <f>5.3352*C1617</f>
        <v>19308.515616</v>
      </c>
      <c r="D1635" s="12">
        <f>6.1735*C1617</f>
        <v>22342.390379999997</v>
      </c>
      <c r="E1635" s="12">
        <f>6.4099*E1617</f>
        <v>23197.940892000002</v>
      </c>
      <c r="F1635" s="12">
        <f>6.6041*F1617</f>
        <v>23900.766228</v>
      </c>
    </row>
    <row r="1636" spans="1:6" ht="12.75">
      <c r="A1636" s="153" t="s">
        <v>508</v>
      </c>
      <c r="B1636" s="167">
        <f t="shared" si="28"/>
        <v>46902</v>
      </c>
      <c r="C1636" s="12"/>
      <c r="D1636" s="12">
        <v>10822</v>
      </c>
      <c r="E1636" s="30">
        <v>35480</v>
      </c>
      <c r="F1636" s="12">
        <v>600</v>
      </c>
    </row>
    <row r="1637" spans="1:6" ht="12.75">
      <c r="A1637" s="153" t="s">
        <v>399</v>
      </c>
      <c r="B1637" s="167">
        <f t="shared" si="28"/>
        <v>177632.32</v>
      </c>
      <c r="C1637" s="12"/>
      <c r="D1637" s="12">
        <v>105040</v>
      </c>
      <c r="E1637" s="30">
        <v>70707</v>
      </c>
      <c r="F1637" s="12">
        <v>1885.32</v>
      </c>
    </row>
    <row r="1638" spans="1:6" ht="12.75">
      <c r="A1638" s="153" t="s">
        <v>404</v>
      </c>
      <c r="B1638" s="167">
        <f t="shared" si="28"/>
        <v>2656</v>
      </c>
      <c r="C1638" s="12"/>
      <c r="D1638" s="12">
        <v>2656</v>
      </c>
      <c r="E1638" s="12"/>
      <c r="F1638" s="12"/>
    </row>
    <row r="1639" spans="1:6" ht="12.75">
      <c r="A1639" s="153" t="s">
        <v>30</v>
      </c>
      <c r="B1639" s="167">
        <f t="shared" si="28"/>
        <v>68794</v>
      </c>
      <c r="C1639" s="12">
        <v>17504</v>
      </c>
      <c r="D1639" s="12">
        <v>34313</v>
      </c>
      <c r="E1639" s="30">
        <v>8971</v>
      </c>
      <c r="F1639" s="12">
        <v>8006</v>
      </c>
    </row>
    <row r="1640" spans="1:6" ht="12.75">
      <c r="A1640" s="153" t="s">
        <v>28</v>
      </c>
      <c r="B1640" s="167">
        <f t="shared" si="28"/>
        <v>1700.7</v>
      </c>
      <c r="C1640" s="12">
        <v>752</v>
      </c>
      <c r="D1640" s="12">
        <v>702.7</v>
      </c>
      <c r="E1640" s="30">
        <v>246</v>
      </c>
      <c r="F1640" s="12"/>
    </row>
    <row r="1641" spans="1:6" ht="12.75">
      <c r="A1641" s="153" t="s">
        <v>41</v>
      </c>
      <c r="B1641" s="167">
        <f t="shared" si="28"/>
        <v>2902</v>
      </c>
      <c r="C1641" s="12">
        <v>2902</v>
      </c>
      <c r="D1641" s="12"/>
      <c r="E1641" s="12"/>
      <c r="F1641" s="12"/>
    </row>
    <row r="1642" spans="1:6" ht="12.75">
      <c r="A1642" s="153" t="s">
        <v>50</v>
      </c>
      <c r="B1642" s="167">
        <f t="shared" si="28"/>
        <v>11958</v>
      </c>
      <c r="C1642" s="12">
        <v>3516</v>
      </c>
      <c r="D1642" s="12">
        <v>7580</v>
      </c>
      <c r="E1642" s="12"/>
      <c r="F1642" s="12">
        <v>862</v>
      </c>
    </row>
    <row r="1643" spans="1:6" ht="12.75">
      <c r="A1643" s="153" t="s">
        <v>52</v>
      </c>
      <c r="B1643" s="167">
        <f t="shared" si="28"/>
        <v>1957.37</v>
      </c>
      <c r="C1643" s="12">
        <v>1957.37</v>
      </c>
      <c r="D1643" s="12"/>
      <c r="E1643" s="12"/>
      <c r="F1643" s="12"/>
    </row>
    <row r="1644" spans="1:6" ht="22.5">
      <c r="A1644" s="153" t="s">
        <v>225</v>
      </c>
      <c r="B1644" s="167">
        <f t="shared" si="28"/>
        <v>518.71</v>
      </c>
      <c r="C1644" s="12">
        <v>518.71</v>
      </c>
      <c r="D1644" s="12"/>
      <c r="E1644" s="12"/>
      <c r="F1644" s="12"/>
    </row>
    <row r="1645" spans="1:6" ht="12.75">
      <c r="A1645" s="153" t="s">
        <v>27</v>
      </c>
      <c r="B1645" s="167">
        <f t="shared" si="28"/>
        <v>562</v>
      </c>
      <c r="C1645" s="12"/>
      <c r="D1645" s="12">
        <v>562</v>
      </c>
      <c r="E1645" s="12"/>
      <c r="F1645" s="12"/>
    </row>
    <row r="1646" spans="1:6" ht="12.75">
      <c r="A1646" s="153" t="s">
        <v>400</v>
      </c>
      <c r="B1646" s="167">
        <f t="shared" si="28"/>
        <v>6010</v>
      </c>
      <c r="C1646" s="12"/>
      <c r="D1646" s="12"/>
      <c r="E1646" s="30">
        <v>6010</v>
      </c>
      <c r="F1646" s="12"/>
    </row>
    <row r="1647" spans="1:6" ht="12.75">
      <c r="A1647" s="153" t="s">
        <v>47</v>
      </c>
      <c r="B1647" s="167">
        <f t="shared" si="28"/>
        <v>850</v>
      </c>
      <c r="C1647" s="12">
        <v>720</v>
      </c>
      <c r="D1647" s="12"/>
      <c r="E1647" s="12"/>
      <c r="F1647" s="12">
        <v>130</v>
      </c>
    </row>
    <row r="1648" spans="1:6" ht="12.75">
      <c r="A1648" s="153" t="s">
        <v>509</v>
      </c>
      <c r="B1648" s="167">
        <f t="shared" si="28"/>
        <v>50084.68</v>
      </c>
      <c r="C1648" s="12"/>
      <c r="D1648" s="12">
        <v>37720</v>
      </c>
      <c r="E1648" s="12"/>
      <c r="F1648" s="12">
        <v>12364.68</v>
      </c>
    </row>
    <row r="1649" spans="1:6" ht="12.75">
      <c r="A1649" s="153" t="s">
        <v>402</v>
      </c>
      <c r="B1649" s="167">
        <f t="shared" si="28"/>
        <v>17000</v>
      </c>
      <c r="C1649" s="12"/>
      <c r="D1649" s="12"/>
      <c r="E1649" s="30">
        <v>17000</v>
      </c>
      <c r="F1649" s="12"/>
    </row>
    <row r="1650" spans="1:6" ht="12.75">
      <c r="A1650" s="153" t="s">
        <v>49</v>
      </c>
      <c r="B1650" s="167">
        <f t="shared" si="28"/>
        <v>3002</v>
      </c>
      <c r="C1650" s="12">
        <v>3002</v>
      </c>
      <c r="D1650" s="12"/>
      <c r="E1650" s="12"/>
      <c r="F1650" s="12"/>
    </row>
    <row r="1651" spans="1:6" ht="12.75">
      <c r="A1651" s="153" t="s">
        <v>403</v>
      </c>
      <c r="B1651" s="167">
        <f t="shared" si="28"/>
        <v>19800</v>
      </c>
      <c r="C1651" s="12"/>
      <c r="D1651" s="12"/>
      <c r="E1651" s="30">
        <v>19800</v>
      </c>
      <c r="F1651" s="12"/>
    </row>
    <row r="1652" spans="1:6" ht="12.75">
      <c r="A1652" s="153" t="s">
        <v>453</v>
      </c>
      <c r="B1652" s="167">
        <f t="shared" si="28"/>
        <v>910</v>
      </c>
      <c r="C1652" s="12"/>
      <c r="D1652" s="12"/>
      <c r="E1652" s="12"/>
      <c r="F1652" s="12">
        <v>910</v>
      </c>
    </row>
    <row r="1653" spans="1:6" ht="22.5">
      <c r="A1653" s="153" t="s">
        <v>504</v>
      </c>
      <c r="B1653" s="167">
        <f t="shared" si="28"/>
        <v>11800</v>
      </c>
      <c r="C1653" s="12"/>
      <c r="D1653" s="12"/>
      <c r="E1653" s="12"/>
      <c r="F1653" s="12">
        <v>11800</v>
      </c>
    </row>
    <row r="1654" spans="1:6" ht="12.75">
      <c r="A1654" s="153" t="s">
        <v>138</v>
      </c>
      <c r="B1654" s="167">
        <f t="shared" si="28"/>
        <v>26751</v>
      </c>
      <c r="C1654" s="12">
        <v>26751</v>
      </c>
      <c r="D1654" s="12"/>
      <c r="E1654" s="12"/>
      <c r="F1654" s="12"/>
    </row>
    <row r="1655" spans="1:6" ht="12.75">
      <c r="A1655" s="153" t="s">
        <v>497</v>
      </c>
      <c r="B1655" s="167">
        <f t="shared" si="28"/>
        <v>0</v>
      </c>
      <c r="C1655" s="12"/>
      <c r="D1655" s="12"/>
      <c r="E1655" s="12"/>
      <c r="F1655" s="30">
        <v>0</v>
      </c>
    </row>
    <row r="1656" spans="1:6" ht="12.75">
      <c r="A1656" s="153" t="s">
        <v>494</v>
      </c>
      <c r="B1656" s="167">
        <f t="shared" si="28"/>
        <v>0</v>
      </c>
      <c r="C1656" s="12"/>
      <c r="D1656" s="12"/>
      <c r="E1656" s="12"/>
      <c r="F1656" s="30">
        <v>0</v>
      </c>
    </row>
    <row r="1657" spans="1:6" ht="12.75">
      <c r="A1657" s="155" t="s">
        <v>11</v>
      </c>
      <c r="B1657" s="166">
        <f t="shared" si="28"/>
        <v>540540.393116</v>
      </c>
      <c r="C1657" s="157">
        <f>C1635+C1636+C1637+C1639+C1640+C1641+C1642+C1643+C1644+C1645+C1646+C1647+C1648+C1649+C1650+C1651+C1652+C1653+C1654</f>
        <v>76931.595616</v>
      </c>
      <c r="D1657" s="157">
        <f>SUM(D1635:D1654)</f>
        <v>221738.09038</v>
      </c>
      <c r="E1657" s="157">
        <f>SUM(E1635:E1654)</f>
        <v>181411.94089199998</v>
      </c>
      <c r="F1657" s="157">
        <f>SUM(F1635:F1656)</f>
        <v>60458.766228</v>
      </c>
    </row>
    <row r="1658" spans="1:6" ht="12.75">
      <c r="A1658" s="155" t="s">
        <v>19</v>
      </c>
      <c r="B1658" s="167">
        <f t="shared" si="28"/>
        <v>0</v>
      </c>
      <c r="C1658" s="12"/>
      <c r="D1658" s="12"/>
      <c r="E1658" s="12"/>
      <c r="F1658" s="12"/>
    </row>
    <row r="1659" spans="1:6" ht="12.75">
      <c r="A1659" s="153" t="s">
        <v>38</v>
      </c>
      <c r="B1659" s="167">
        <f t="shared" si="28"/>
        <v>3042.31807764</v>
      </c>
      <c r="C1659" s="12">
        <f>0.218666*C1617</f>
        <v>791.36974728</v>
      </c>
      <c r="D1659" s="12">
        <f>0.210458*C1617</f>
        <v>761.66433864</v>
      </c>
      <c r="E1659" s="12">
        <f>0.167241*E1617</f>
        <v>605.25855828</v>
      </c>
      <c r="F1659" s="12">
        <f>0.244268*F1617</f>
        <v>884.02543344</v>
      </c>
    </row>
    <row r="1660" spans="1:6" ht="12.75">
      <c r="A1660" s="153" t="s">
        <v>39</v>
      </c>
      <c r="B1660" s="167">
        <f t="shared" si="28"/>
        <v>6032.71321452</v>
      </c>
      <c r="C1660" s="12">
        <f>0.306583*C1617</f>
        <v>1109.54840364</v>
      </c>
      <c r="D1660" s="12">
        <f>0.0733554*C1617</f>
        <v>265.479061032</v>
      </c>
      <c r="E1660" s="12">
        <f>0.536065*E1617</f>
        <v>1940.0621202</v>
      </c>
      <c r="F1660" s="12">
        <f>0.7509156*F1617</f>
        <v>2717.623629648</v>
      </c>
    </row>
    <row r="1661" spans="1:6" ht="12.75">
      <c r="A1661" s="153" t="s">
        <v>32</v>
      </c>
      <c r="B1661" s="167">
        <f t="shared" si="28"/>
        <v>0</v>
      </c>
      <c r="C1661" s="12"/>
      <c r="D1661" s="12"/>
      <c r="E1661" s="12"/>
      <c r="F1661" s="12"/>
    </row>
    <row r="1662" spans="1:6" ht="12.75">
      <c r="A1662" s="153" t="s">
        <v>37</v>
      </c>
      <c r="B1662" s="167">
        <f t="shared" si="28"/>
        <v>7793.887105584</v>
      </c>
      <c r="C1662" s="12">
        <f>0.70476*C1617</f>
        <v>2550.5828208000003</v>
      </c>
      <c r="D1662" s="12">
        <f>0.3731258*C1617</f>
        <v>1350.372120264</v>
      </c>
      <c r="E1662" s="12">
        <f>0.553205*E1617</f>
        <v>2002.0931513999997</v>
      </c>
      <c r="F1662" s="12">
        <f>0.522464*F1617</f>
        <v>1890.8390131200001</v>
      </c>
    </row>
    <row r="1663" spans="1:6" ht="12.75">
      <c r="A1663" s="153" t="s">
        <v>20</v>
      </c>
      <c r="B1663" s="167">
        <f t="shared" si="28"/>
        <v>2881.97473824</v>
      </c>
      <c r="C1663" s="12"/>
      <c r="D1663" s="12">
        <f>0.158142*C1617</f>
        <v>572.32854936</v>
      </c>
      <c r="E1663" s="12">
        <f>0.60489*E1617</f>
        <v>2189.1453012</v>
      </c>
      <c r="F1663" s="12">
        <f>0.033296*F1617</f>
        <v>120.50088767999999</v>
      </c>
    </row>
    <row r="1664" spans="1:6" ht="12.75">
      <c r="A1664" s="156" t="s">
        <v>11</v>
      </c>
      <c r="B1664" s="166">
        <f t="shared" si="28"/>
        <v>19750.893135984003</v>
      </c>
      <c r="C1664" s="157">
        <f>C1659+C1660+C1661+C1662+C1663</f>
        <v>4451.50097172</v>
      </c>
      <c r="D1664" s="157">
        <f>SUM(D1659:D1663)</f>
        <v>2949.844069296</v>
      </c>
      <c r="E1664" s="157">
        <f>SUM(E1659:E1663)</f>
        <v>6736.55913108</v>
      </c>
      <c r="F1664" s="157">
        <f>SUM(F1659:F1663)</f>
        <v>5612.988963888</v>
      </c>
    </row>
    <row r="1665" spans="1:6" ht="12.75">
      <c r="A1665" s="153" t="s">
        <v>101</v>
      </c>
      <c r="B1665" s="167">
        <f t="shared" si="28"/>
        <v>2361.0829548799998</v>
      </c>
      <c r="C1665" s="157">
        <f>0.0644*C1617</f>
        <v>233.068752</v>
      </c>
      <c r="D1665" s="12">
        <v>200</v>
      </c>
      <c r="E1665" s="12">
        <f>0.10264*E1617</f>
        <v>371.46237119999995</v>
      </c>
      <c r="F1665" s="12">
        <f>0.430096*F1617</f>
        <v>1556.5518316799999</v>
      </c>
    </row>
    <row r="1666" spans="1:6" ht="33.75">
      <c r="A1666" s="161" t="s">
        <v>21</v>
      </c>
      <c r="B1666" s="166">
        <f t="shared" si="28"/>
        <v>808828.9261753841</v>
      </c>
      <c r="C1666" s="157">
        <f>C1633+C1657+C1664+C1665</f>
        <v>137284.62221571998</v>
      </c>
      <c r="D1666" s="157">
        <f>D1633+D1657+D1664+D1665</f>
        <v>286150.47300929605</v>
      </c>
      <c r="E1666" s="157">
        <f>E1633+E1657+E1664+E1665</f>
        <v>258062.00600228</v>
      </c>
      <c r="F1666" s="157">
        <f>F1633+F1657+F1664+F1665</f>
        <v>127331.824948088</v>
      </c>
    </row>
    <row r="1667" spans="1:6" ht="45">
      <c r="A1667" s="161" t="s">
        <v>22</v>
      </c>
      <c r="B1667" s="162">
        <f>B1666/12/C1617</f>
        <v>18.624183636342757</v>
      </c>
      <c r="C1667" s="14">
        <f>C1666/C1617/3</f>
        <v>12.644523121504173</v>
      </c>
      <c r="D1667" s="14">
        <f>D1666/3/C1617</f>
        <v>26.355728804861645</v>
      </c>
      <c r="E1667" s="14">
        <f>E1666/3/C1617</f>
        <v>23.76865630696936</v>
      </c>
      <c r="F1667" s="14">
        <f>F1666/3/C1617</f>
        <v>11.727826312035841</v>
      </c>
    </row>
    <row r="1668" spans="1:7" ht="12.75">
      <c r="A1668" s="163" t="s">
        <v>34</v>
      </c>
      <c r="B1668" s="154">
        <f>B1621-B1666</f>
        <v>-383721.3961753841</v>
      </c>
      <c r="C1668" s="165">
        <f>C1621-C1666</f>
        <v>-39815.18221571998</v>
      </c>
      <c r="D1668" s="165">
        <f>D1621-D1666-39814</f>
        <v>-201740.61300929607</v>
      </c>
      <c r="E1668" s="12">
        <f>E1621-E1666-201741</f>
        <v>-341186.82600228</v>
      </c>
      <c r="F1668" s="12">
        <f>F1621-F1666-341187</f>
        <v>-383720.774948088</v>
      </c>
      <c r="G1668" s="11"/>
    </row>
    <row r="1669" spans="1:6" ht="12.75">
      <c r="A1669" s="29"/>
      <c r="B1669" s="29"/>
      <c r="C1669" s="29"/>
      <c r="D1669" s="29"/>
      <c r="E1669" s="29"/>
      <c r="F1669" s="29"/>
    </row>
    <row r="1670" spans="1:6" ht="12.75">
      <c r="A1670" s="29" t="s">
        <v>44</v>
      </c>
      <c r="B1670" s="29"/>
      <c r="C1670" s="29"/>
      <c r="D1670" s="29"/>
      <c r="E1670" s="29"/>
      <c r="F1670" s="29"/>
    </row>
    <row r="1671" spans="1:6" ht="12.75">
      <c r="A1671" s="29" t="s">
        <v>579</v>
      </c>
      <c r="B1671" s="29"/>
      <c r="C1671" s="29"/>
      <c r="D1671" s="29"/>
      <c r="E1671" s="29"/>
      <c r="F1671" s="29"/>
    </row>
    <row r="1672" spans="1:6" ht="12.75">
      <c r="A1672" s="29" t="s">
        <v>45</v>
      </c>
      <c r="B1672" s="29"/>
      <c r="C1672" s="29"/>
      <c r="D1672" s="29"/>
      <c r="E1672" s="29"/>
      <c r="F1672" s="29"/>
    </row>
    <row r="1673" spans="1:6" ht="258" customHeight="1">
      <c r="A1673" s="29"/>
      <c r="B1673" s="29"/>
      <c r="C1673" s="29"/>
      <c r="D1673" s="29"/>
      <c r="E1673" s="29"/>
      <c r="F1673" s="29"/>
    </row>
    <row r="1674" spans="1:6" ht="12.75">
      <c r="A1674" s="120" t="s">
        <v>35</v>
      </c>
      <c r="B1674" s="120"/>
      <c r="C1674" s="29"/>
      <c r="D1674" s="29"/>
      <c r="E1674" s="29"/>
      <c r="F1674" s="29"/>
    </row>
    <row r="1675" spans="1:6" ht="12.75">
      <c r="A1675" s="29" t="s">
        <v>616</v>
      </c>
      <c r="B1675" s="29"/>
      <c r="C1675" s="29"/>
      <c r="D1675" s="29"/>
      <c r="E1675" s="29"/>
      <c r="F1675" s="29"/>
    </row>
    <row r="1676" spans="1:6" ht="12.75">
      <c r="A1676" s="29" t="s">
        <v>224</v>
      </c>
      <c r="B1676" s="29"/>
      <c r="C1676" s="29"/>
      <c r="D1676" s="29"/>
      <c r="E1676" s="29"/>
      <c r="F1676" s="29"/>
    </row>
    <row r="1677" spans="1:6" ht="12.75">
      <c r="A1677" s="29" t="s">
        <v>610</v>
      </c>
      <c r="B1677" s="29"/>
      <c r="C1677" s="29"/>
      <c r="D1677" s="29"/>
      <c r="E1677" s="29" t="s">
        <v>340</v>
      </c>
      <c r="F1677" s="29"/>
    </row>
    <row r="1678" spans="1:6" ht="12.75">
      <c r="A1678" s="10" t="s">
        <v>1</v>
      </c>
      <c r="B1678" s="10" t="s">
        <v>11</v>
      </c>
      <c r="C1678" s="10" t="s">
        <v>86</v>
      </c>
      <c r="D1678" s="10" t="s">
        <v>87</v>
      </c>
      <c r="E1678" s="10" t="s">
        <v>120</v>
      </c>
      <c r="F1678" s="10" t="s">
        <v>141</v>
      </c>
    </row>
    <row r="1679" spans="1:6" ht="12.75">
      <c r="A1679" s="22" t="s">
        <v>6</v>
      </c>
      <c r="B1679" s="22"/>
      <c r="C1679" s="10"/>
      <c r="D1679" s="5"/>
      <c r="E1679" s="5"/>
      <c r="F1679" s="5"/>
    </row>
    <row r="1680" spans="1:6" ht="12.75">
      <c r="A1680" s="5" t="s">
        <v>2</v>
      </c>
      <c r="B1680" s="5"/>
      <c r="C1680" s="10">
        <v>5</v>
      </c>
      <c r="D1680" s="5"/>
      <c r="E1680" s="5"/>
      <c r="F1680" s="5"/>
    </row>
    <row r="1681" spans="1:6" ht="12.75">
      <c r="A1681" s="5" t="s">
        <v>3</v>
      </c>
      <c r="B1681" s="5"/>
      <c r="C1681" s="10">
        <v>6</v>
      </c>
      <c r="D1681" s="5"/>
      <c r="E1681" s="5"/>
      <c r="F1681" s="5"/>
    </row>
    <row r="1682" spans="1:6" ht="12.75">
      <c r="A1682" s="5" t="s">
        <v>4</v>
      </c>
      <c r="B1682" s="5"/>
      <c r="C1682" s="10">
        <v>61</v>
      </c>
      <c r="D1682" s="5"/>
      <c r="E1682" s="5"/>
      <c r="F1682" s="5"/>
    </row>
    <row r="1683" spans="1:6" ht="12.75">
      <c r="A1683" s="5" t="s">
        <v>5</v>
      </c>
      <c r="B1683" s="10">
        <v>3626.99</v>
      </c>
      <c r="C1683" s="10">
        <v>3626.99</v>
      </c>
      <c r="D1683" s="10">
        <v>3626.99</v>
      </c>
      <c r="E1683" s="10">
        <v>3626.99</v>
      </c>
      <c r="F1683" s="10">
        <v>3626.99</v>
      </c>
    </row>
    <row r="1684" spans="1:6" ht="22.5">
      <c r="A1684" s="150" t="s">
        <v>7</v>
      </c>
      <c r="B1684" s="150"/>
      <c r="C1684" s="5" t="s">
        <v>36</v>
      </c>
      <c r="D1684" s="5"/>
      <c r="E1684" s="5"/>
      <c r="F1684" s="5"/>
    </row>
    <row r="1685" spans="1:6" ht="22.5">
      <c r="A1685" s="151" t="s">
        <v>8</v>
      </c>
      <c r="B1685" s="6">
        <f>C1685+D1685+E1685+F1685</f>
        <v>406231.37</v>
      </c>
      <c r="C1685" s="10">
        <v>95513.38</v>
      </c>
      <c r="D1685" s="10">
        <v>100098.33</v>
      </c>
      <c r="E1685" s="5">
        <v>96175.28</v>
      </c>
      <c r="F1685" s="10">
        <v>114444.38</v>
      </c>
    </row>
    <row r="1686" spans="1:6" ht="22.5">
      <c r="A1686" s="153" t="s">
        <v>9</v>
      </c>
      <c r="B1686" s="6">
        <f>C1686+D1686+E1686+F1686</f>
        <v>0</v>
      </c>
      <c r="C1686" s="10">
        <v>0</v>
      </c>
      <c r="D1686" s="5"/>
      <c r="E1686" s="5"/>
      <c r="F1686" s="10">
        <v>0</v>
      </c>
    </row>
    <row r="1687" spans="1:6" ht="12.75">
      <c r="A1687" s="5" t="s">
        <v>11</v>
      </c>
      <c r="B1687" s="150">
        <f>C1687+D1687+E1687+F1687</f>
        <v>406231.37</v>
      </c>
      <c r="C1687" s="22">
        <f>C1685+C1686</f>
        <v>95513.38</v>
      </c>
      <c r="D1687" s="22">
        <f>SUM(D1685:D1686)</f>
        <v>100098.33</v>
      </c>
      <c r="E1687" s="155">
        <f>SUM(E1685:E1686)</f>
        <v>96175.28</v>
      </c>
      <c r="F1687" s="22">
        <f>SUM(F1685:F1686)</f>
        <v>114444.38</v>
      </c>
    </row>
    <row r="1688" spans="1:6" ht="22.5">
      <c r="A1688" s="150" t="s">
        <v>12</v>
      </c>
      <c r="B1688" s="150"/>
      <c r="C1688" s="5"/>
      <c r="D1688" s="5"/>
      <c r="E1688" s="5"/>
      <c r="F1688" s="5"/>
    </row>
    <row r="1689" spans="1:7" ht="12.75">
      <c r="A1689" s="156" t="s">
        <v>13</v>
      </c>
      <c r="B1689" s="166">
        <f>C1689+D1689+E1689+F1689</f>
        <v>114529.35079330999</v>
      </c>
      <c r="C1689" s="157">
        <f>7.5947*C1683</f>
        <v>27545.900952999997</v>
      </c>
      <c r="D1689" s="157">
        <f>7.632*C1683</f>
        <v>27681.187679999995</v>
      </c>
      <c r="E1689" s="157">
        <f>8.5526*E1683</f>
        <v>31020.194674</v>
      </c>
      <c r="F1689" s="157">
        <f>7.797669*F1683</f>
        <v>28282.06748631</v>
      </c>
      <c r="G1689" s="8"/>
    </row>
    <row r="1690" spans="1:6" ht="21.75">
      <c r="A1690" s="156" t="s">
        <v>14</v>
      </c>
      <c r="B1690" s="167">
        <f aca="true" t="shared" si="29" ref="B1690:B1733">C1690+D1690+E1690+F1690</f>
        <v>0</v>
      </c>
      <c r="C1690" s="12"/>
      <c r="D1690" s="12"/>
      <c r="E1690" s="12"/>
      <c r="F1690" s="12"/>
    </row>
    <row r="1691" spans="1:6" ht="12.75">
      <c r="A1691" s="153" t="s">
        <v>15</v>
      </c>
      <c r="B1691" s="167">
        <f t="shared" si="29"/>
        <v>144407.47</v>
      </c>
      <c r="C1691" s="12">
        <f>C1692+C1694</f>
        <v>28384.57</v>
      </c>
      <c r="D1691" s="12">
        <f>D1692+D1694+D1695+D1696+D1697+D1698</f>
        <v>30382.920000000002</v>
      </c>
      <c r="E1691" s="12">
        <f>E1692+E1694+E1695+E1696+E1697+E1698</f>
        <v>38134.38</v>
      </c>
      <c r="F1691" s="12">
        <f>F1692+F1694+F1695+F1696+F1697+F1698+F1699</f>
        <v>47505.6</v>
      </c>
    </row>
    <row r="1692" spans="1:6" ht="12.75">
      <c r="A1692" s="158" t="s">
        <v>16</v>
      </c>
      <c r="B1692" s="167">
        <f t="shared" si="29"/>
        <v>119953</v>
      </c>
      <c r="C1692" s="165">
        <v>28172</v>
      </c>
      <c r="D1692" s="12">
        <v>26919</v>
      </c>
      <c r="E1692" s="12">
        <v>34122</v>
      </c>
      <c r="F1692" s="12">
        <v>30740</v>
      </c>
    </row>
    <row r="1693" spans="1:6" ht="12.75">
      <c r="A1693" s="153" t="s">
        <v>33</v>
      </c>
      <c r="B1693" s="167">
        <f t="shared" si="29"/>
        <v>77497.51000000001</v>
      </c>
      <c r="C1693" s="165">
        <v>16261.51</v>
      </c>
      <c r="D1693" s="12">
        <v>18040</v>
      </c>
      <c r="E1693" s="12">
        <v>21598</v>
      </c>
      <c r="F1693" s="12">
        <v>21598</v>
      </c>
    </row>
    <row r="1694" spans="1:6" ht="12.75">
      <c r="A1694" s="153" t="s">
        <v>24</v>
      </c>
      <c r="B1694" s="167">
        <f t="shared" si="29"/>
        <v>2123.5699999999997</v>
      </c>
      <c r="C1694" s="12">
        <v>212.57</v>
      </c>
      <c r="D1694" s="12">
        <v>510.52</v>
      </c>
      <c r="E1694" s="12">
        <v>684.88</v>
      </c>
      <c r="F1694" s="12">
        <v>715.6</v>
      </c>
    </row>
    <row r="1695" spans="1:6" ht="12.75">
      <c r="A1695" s="153" t="s">
        <v>17</v>
      </c>
      <c r="B1695" s="167">
        <f t="shared" si="29"/>
        <v>0</v>
      </c>
      <c r="C1695" s="12"/>
      <c r="D1695" s="12"/>
      <c r="E1695" s="12"/>
      <c r="F1695" s="12"/>
    </row>
    <row r="1696" spans="1:6" ht="12.75">
      <c r="A1696" s="153" t="s">
        <v>40</v>
      </c>
      <c r="B1696" s="167">
        <f t="shared" si="29"/>
        <v>50</v>
      </c>
      <c r="C1696" s="12"/>
      <c r="D1696" s="12"/>
      <c r="E1696" s="12"/>
      <c r="F1696" s="12">
        <v>50</v>
      </c>
    </row>
    <row r="1697" spans="1:6" ht="12.75">
      <c r="A1697" s="153" t="s">
        <v>65</v>
      </c>
      <c r="B1697" s="167">
        <f t="shared" si="29"/>
        <v>559.9</v>
      </c>
      <c r="C1697" s="12"/>
      <c r="D1697" s="12">
        <v>297.4</v>
      </c>
      <c r="E1697" s="12">
        <v>262.5</v>
      </c>
      <c r="F1697" s="12"/>
    </row>
    <row r="1698" spans="1:6" ht="12.75">
      <c r="A1698" s="153" t="s">
        <v>405</v>
      </c>
      <c r="B1698" s="167">
        <f t="shared" si="29"/>
        <v>5721</v>
      </c>
      <c r="C1698" s="12"/>
      <c r="D1698" s="12">
        <v>2656</v>
      </c>
      <c r="E1698" s="12">
        <v>3065</v>
      </c>
      <c r="F1698" s="12"/>
    </row>
    <row r="1699" spans="1:6" ht="12.75">
      <c r="A1699" s="153" t="s">
        <v>510</v>
      </c>
      <c r="B1699" s="167"/>
      <c r="C1699" s="12"/>
      <c r="D1699" s="12"/>
      <c r="E1699" s="12"/>
      <c r="F1699" s="12">
        <v>16000</v>
      </c>
    </row>
    <row r="1700" spans="1:6" ht="12.75">
      <c r="A1700" s="155" t="s">
        <v>11</v>
      </c>
      <c r="B1700" s="166">
        <f t="shared" si="29"/>
        <v>258936.82079331</v>
      </c>
      <c r="C1700" s="157">
        <f>C1689+C1691</f>
        <v>55930.470953</v>
      </c>
      <c r="D1700" s="157">
        <f>D1689+D1691</f>
        <v>58064.10768</v>
      </c>
      <c r="E1700" s="157">
        <f>E1689+E1691</f>
        <v>69154.574674</v>
      </c>
      <c r="F1700" s="157">
        <f>F1689+F1691</f>
        <v>75787.66748631</v>
      </c>
    </row>
    <row r="1701" spans="1:6" ht="21.75">
      <c r="A1701" s="159" t="s">
        <v>18</v>
      </c>
      <c r="B1701" s="167">
        <f t="shared" si="29"/>
        <v>0</v>
      </c>
      <c r="C1701" s="12"/>
      <c r="D1701" s="12"/>
      <c r="E1701" s="12"/>
      <c r="F1701" s="12"/>
    </row>
    <row r="1702" spans="1:6" ht="12.75">
      <c r="A1702" s="153" t="s">
        <v>23</v>
      </c>
      <c r="B1702" s="167">
        <f t="shared" si="29"/>
        <v>88943.587673</v>
      </c>
      <c r="C1702" s="165">
        <f>5.3352*C1683</f>
        <v>19350.717048</v>
      </c>
      <c r="D1702" s="12">
        <f>6.1735*C1683</f>
        <v>22391.222765</v>
      </c>
      <c r="E1702" s="12">
        <f>6.4099*E1683</f>
        <v>23248.643201</v>
      </c>
      <c r="F1702" s="12">
        <f>6.6041*F1683</f>
        <v>23953.004659</v>
      </c>
    </row>
    <row r="1703" spans="1:6" ht="12.75">
      <c r="A1703" s="153" t="s">
        <v>113</v>
      </c>
      <c r="B1703" s="167">
        <f t="shared" si="29"/>
        <v>0</v>
      </c>
      <c r="C1703" s="12"/>
      <c r="D1703" s="12"/>
      <c r="E1703" s="12"/>
      <c r="F1703" s="12"/>
    </row>
    <row r="1704" spans="1:6" ht="12.75">
      <c r="A1704" s="153" t="s">
        <v>109</v>
      </c>
      <c r="B1704" s="167">
        <f t="shared" si="29"/>
        <v>0</v>
      </c>
      <c r="C1704" s="12"/>
      <c r="D1704" s="12"/>
      <c r="E1704" s="12"/>
      <c r="F1704" s="12"/>
    </row>
    <row r="1705" spans="1:6" ht="12.75">
      <c r="A1705" s="153" t="s">
        <v>103</v>
      </c>
      <c r="B1705" s="167">
        <f t="shared" si="29"/>
        <v>0</v>
      </c>
      <c r="C1705" s="12"/>
      <c r="D1705" s="12"/>
      <c r="E1705" s="12"/>
      <c r="F1705" s="12"/>
    </row>
    <row r="1706" spans="1:6" ht="12.75">
      <c r="A1706" s="153" t="s">
        <v>112</v>
      </c>
      <c r="B1706" s="167">
        <f t="shared" si="29"/>
        <v>0</v>
      </c>
      <c r="C1706" s="12"/>
      <c r="D1706" s="12"/>
      <c r="E1706" s="12"/>
      <c r="F1706" s="12"/>
    </row>
    <row r="1707" spans="1:6" ht="12.75">
      <c r="A1707" s="153" t="s">
        <v>114</v>
      </c>
      <c r="B1707" s="167">
        <f t="shared" si="29"/>
        <v>0</v>
      </c>
      <c r="C1707" s="12"/>
      <c r="D1707" s="12"/>
      <c r="E1707" s="12"/>
      <c r="F1707" s="12"/>
    </row>
    <row r="1708" spans="1:6" ht="12.75">
      <c r="A1708" s="153" t="s">
        <v>30</v>
      </c>
      <c r="B1708" s="167">
        <f t="shared" si="29"/>
        <v>64828</v>
      </c>
      <c r="C1708" s="12"/>
      <c r="D1708" s="12">
        <v>17770</v>
      </c>
      <c r="E1708" s="12">
        <v>40201</v>
      </c>
      <c r="F1708" s="12">
        <v>6857</v>
      </c>
    </row>
    <row r="1709" spans="1:6" ht="12.75">
      <c r="A1709" s="153" t="s">
        <v>28</v>
      </c>
      <c r="B1709" s="167">
        <f t="shared" si="29"/>
        <v>1185.9</v>
      </c>
      <c r="C1709" s="12">
        <v>752</v>
      </c>
      <c r="D1709" s="12">
        <v>433.9</v>
      </c>
      <c r="E1709" s="12"/>
      <c r="F1709" s="12"/>
    </row>
    <row r="1710" spans="1:6" ht="12.75">
      <c r="A1710" s="153" t="s">
        <v>41</v>
      </c>
      <c r="B1710" s="167">
        <f t="shared" si="29"/>
        <v>2584</v>
      </c>
      <c r="C1710" s="12">
        <v>571</v>
      </c>
      <c r="D1710" s="12">
        <v>2013</v>
      </c>
      <c r="E1710" s="12"/>
      <c r="F1710" s="12"/>
    </row>
    <row r="1711" spans="1:6" ht="12.75">
      <c r="A1711" s="153" t="s">
        <v>50</v>
      </c>
      <c r="B1711" s="167">
        <f t="shared" si="29"/>
        <v>7080</v>
      </c>
      <c r="C1711" s="12"/>
      <c r="D1711" s="12">
        <v>6045</v>
      </c>
      <c r="E1711" s="12"/>
      <c r="F1711" s="12">
        <v>1035</v>
      </c>
    </row>
    <row r="1712" spans="1:6" ht="12.75">
      <c r="A1712" s="153" t="s">
        <v>52</v>
      </c>
      <c r="B1712" s="167">
        <f t="shared" si="29"/>
        <v>16407.67</v>
      </c>
      <c r="C1712" s="12">
        <v>13616.67</v>
      </c>
      <c r="D1712" s="12"/>
      <c r="E1712" s="12"/>
      <c r="F1712" s="12">
        <v>2791</v>
      </c>
    </row>
    <row r="1713" spans="1:6" ht="22.5">
      <c r="A1713" s="153" t="s">
        <v>225</v>
      </c>
      <c r="B1713" s="167">
        <f t="shared" si="29"/>
        <v>519.23</v>
      </c>
      <c r="C1713" s="12">
        <v>519.23</v>
      </c>
      <c r="D1713" s="12"/>
      <c r="E1713" s="12"/>
      <c r="F1713" s="12"/>
    </row>
    <row r="1714" spans="1:6" ht="12.75">
      <c r="A1714" s="153" t="s">
        <v>27</v>
      </c>
      <c r="B1714" s="167">
        <f t="shared" si="29"/>
        <v>317</v>
      </c>
      <c r="C1714" s="12"/>
      <c r="D1714" s="12">
        <v>317</v>
      </c>
      <c r="E1714" s="12"/>
      <c r="F1714" s="12"/>
    </row>
    <row r="1715" spans="1:6" ht="12.75">
      <c r="A1715" s="153" t="s">
        <v>453</v>
      </c>
      <c r="B1715" s="167">
        <f t="shared" si="29"/>
        <v>912</v>
      </c>
      <c r="C1715" s="12"/>
      <c r="D1715" s="12"/>
      <c r="E1715" s="12"/>
      <c r="F1715" s="12">
        <v>912</v>
      </c>
    </row>
    <row r="1716" spans="1:6" ht="12.75">
      <c r="A1716" s="153" t="s">
        <v>47</v>
      </c>
      <c r="B1716" s="167">
        <f t="shared" si="29"/>
        <v>150</v>
      </c>
      <c r="C1716" s="12"/>
      <c r="D1716" s="12"/>
      <c r="E1716" s="12"/>
      <c r="F1716" s="12">
        <v>150</v>
      </c>
    </row>
    <row r="1717" spans="1:6" ht="12.75">
      <c r="A1717" s="153" t="s">
        <v>497</v>
      </c>
      <c r="B1717" s="167">
        <f t="shared" si="29"/>
        <v>0</v>
      </c>
      <c r="C1717" s="12"/>
      <c r="D1717" s="12"/>
      <c r="E1717" s="12"/>
      <c r="F1717" s="30">
        <v>0</v>
      </c>
    </row>
    <row r="1718" spans="1:6" ht="12.75">
      <c r="A1718" s="153" t="s">
        <v>232</v>
      </c>
      <c r="B1718" s="167">
        <f t="shared" si="29"/>
        <v>0</v>
      </c>
      <c r="C1718" s="30">
        <v>0</v>
      </c>
      <c r="D1718" s="12"/>
      <c r="E1718" s="12"/>
      <c r="F1718" s="12"/>
    </row>
    <row r="1719" spans="1:6" ht="12.75">
      <c r="A1719" s="153" t="s">
        <v>49</v>
      </c>
      <c r="B1719" s="167">
        <f t="shared" si="29"/>
        <v>0</v>
      </c>
      <c r="C1719" s="12"/>
      <c r="D1719" s="12"/>
      <c r="E1719" s="12"/>
      <c r="F1719" s="12"/>
    </row>
    <row r="1720" spans="1:6" ht="12.75">
      <c r="A1720" s="153" t="s">
        <v>494</v>
      </c>
      <c r="B1720" s="167">
        <f t="shared" si="29"/>
        <v>0</v>
      </c>
      <c r="C1720" s="12"/>
      <c r="D1720" s="12"/>
      <c r="E1720" s="12"/>
      <c r="F1720" s="30">
        <v>0</v>
      </c>
    </row>
    <row r="1721" spans="1:6" ht="22.5">
      <c r="A1721" s="153" t="s">
        <v>504</v>
      </c>
      <c r="B1721" s="167">
        <f t="shared" si="29"/>
        <v>11000</v>
      </c>
      <c r="C1721" s="12"/>
      <c r="D1721" s="12"/>
      <c r="E1721" s="12"/>
      <c r="F1721" s="12">
        <v>11000</v>
      </c>
    </row>
    <row r="1722" spans="1:6" ht="12.75">
      <c r="A1722" s="153" t="s">
        <v>136</v>
      </c>
      <c r="B1722" s="167">
        <f t="shared" si="29"/>
        <v>0</v>
      </c>
      <c r="C1722" s="12"/>
      <c r="D1722" s="12"/>
      <c r="E1722" s="12"/>
      <c r="F1722" s="12"/>
    </row>
    <row r="1723" spans="1:6" ht="12.75">
      <c r="A1723" s="153" t="s">
        <v>58</v>
      </c>
      <c r="B1723" s="167">
        <f t="shared" si="29"/>
        <v>0</v>
      </c>
      <c r="C1723" s="12"/>
      <c r="D1723" s="12">
        <v>0</v>
      </c>
      <c r="E1723" s="12"/>
      <c r="F1723" s="12"/>
    </row>
    <row r="1724" spans="1:6" ht="12.75">
      <c r="A1724" s="155" t="s">
        <v>11</v>
      </c>
      <c r="B1724" s="166">
        <f t="shared" si="29"/>
        <v>193927.387673</v>
      </c>
      <c r="C1724" s="157">
        <f>C1702+C1703+C1707+C1708+C1709+C1710+C1711+C1712+C1713+C1714+C1715+C1716+C1717+C1718+C1719+C1720+C1721+C1722+C1723</f>
        <v>34809.617048</v>
      </c>
      <c r="D1724" s="157">
        <f>SUM(D1702:D1723)</f>
        <v>48970.122765</v>
      </c>
      <c r="E1724" s="157">
        <f>SUM(E1702:E1723)</f>
        <v>63449.643201</v>
      </c>
      <c r="F1724" s="157">
        <f>SUM(F1702:F1723)</f>
        <v>46698.004659</v>
      </c>
    </row>
    <row r="1725" spans="1:6" ht="12.75">
      <c r="A1725" s="155" t="s">
        <v>19</v>
      </c>
      <c r="B1725" s="167">
        <f t="shared" si="29"/>
        <v>0</v>
      </c>
      <c r="C1725" s="12"/>
      <c r="D1725" s="12"/>
      <c r="E1725" s="12"/>
      <c r="F1725" s="12"/>
    </row>
    <row r="1726" spans="1:6" ht="12.75">
      <c r="A1726" s="153" t="s">
        <v>38</v>
      </c>
      <c r="B1726" s="167">
        <f t="shared" si="29"/>
        <v>3048.96748467</v>
      </c>
      <c r="C1726" s="12">
        <f>0.218666*C1683</f>
        <v>793.09939534</v>
      </c>
      <c r="D1726" s="12">
        <f>0.210458*C1683</f>
        <v>763.32906142</v>
      </c>
      <c r="E1726" s="12">
        <f>0.167241*E1683</f>
        <v>606.58143459</v>
      </c>
      <c r="F1726" s="12">
        <f>0.244268*F1683</f>
        <v>885.95759332</v>
      </c>
    </row>
    <row r="1727" spans="1:6" ht="12.75">
      <c r="A1727" s="153" t="s">
        <v>39</v>
      </c>
      <c r="B1727" s="167">
        <f t="shared" si="29"/>
        <v>6045.89854381</v>
      </c>
      <c r="C1727" s="12">
        <f>0.306583*C1683</f>
        <v>1111.9734751699998</v>
      </c>
      <c r="D1727" s="12">
        <f>0.0733554*C1683</f>
        <v>266.059302246</v>
      </c>
      <c r="E1727" s="12">
        <f>0.536065*E1683</f>
        <v>1944.30239435</v>
      </c>
      <c r="F1727" s="12">
        <f>0.7509156*F1683</f>
        <v>2723.563372044</v>
      </c>
    </row>
    <row r="1728" spans="1:6" ht="12.75">
      <c r="A1728" s="153" t="s">
        <v>32</v>
      </c>
      <c r="B1728" s="167">
        <f t="shared" si="29"/>
        <v>0</v>
      </c>
      <c r="C1728" s="12"/>
      <c r="D1728" s="12"/>
      <c r="E1728" s="12"/>
      <c r="F1728" s="12"/>
    </row>
    <row r="1729" spans="1:6" ht="12.75">
      <c r="A1729" s="153" t="s">
        <v>37</v>
      </c>
      <c r="B1729" s="167">
        <f t="shared" si="29"/>
        <v>7810.921724052</v>
      </c>
      <c r="C1729" s="12">
        <f>0.70476*C1683</f>
        <v>2556.1574724</v>
      </c>
      <c r="D1729" s="12">
        <f>0.3731258*C1683</f>
        <v>1353.323545342</v>
      </c>
      <c r="E1729" s="12">
        <f>0.553205*E1683</f>
        <v>2006.4690029499998</v>
      </c>
      <c r="F1729" s="12">
        <f>0.522464*F1683</f>
        <v>1894.97170336</v>
      </c>
    </row>
    <row r="1730" spans="1:6" ht="12.75">
      <c r="A1730" s="153" t="s">
        <v>20</v>
      </c>
      <c r="B1730" s="167">
        <f t="shared" si="29"/>
        <v>2888.2736927200003</v>
      </c>
      <c r="C1730" s="12"/>
      <c r="D1730" s="12">
        <f>0.158142*C1683</f>
        <v>573.57945258</v>
      </c>
      <c r="E1730" s="12">
        <f>0.60489*E1683</f>
        <v>2193.9299811</v>
      </c>
      <c r="F1730" s="12">
        <f>0.033296*F1683</f>
        <v>120.76425903999998</v>
      </c>
    </row>
    <row r="1731" spans="1:6" ht="12.75">
      <c r="A1731" s="156" t="s">
        <v>11</v>
      </c>
      <c r="B1731" s="166">
        <f t="shared" si="29"/>
        <v>19794.061445252</v>
      </c>
      <c r="C1731" s="157">
        <f>C1726+C1727+C1728+C1729+C1730</f>
        <v>4461.23034291</v>
      </c>
      <c r="D1731" s="157">
        <f>SUM(D1726:D1730)</f>
        <v>2956.2913615879997</v>
      </c>
      <c r="E1731" s="157">
        <f>SUM(E1726:E1730)</f>
        <v>6751.28281299</v>
      </c>
      <c r="F1731" s="157">
        <f>SUM(F1726:F1730)</f>
        <v>5625.2569277640005</v>
      </c>
    </row>
    <row r="1732" spans="1:6" ht="12.75">
      <c r="A1732" s="153" t="s">
        <v>101</v>
      </c>
      <c r="B1732" s="167">
        <f t="shared" si="29"/>
        <v>2366.80630064</v>
      </c>
      <c r="C1732" s="157">
        <f>0.0644*C1683</f>
        <v>233.57815599999998</v>
      </c>
      <c r="D1732" s="157">
        <v>201</v>
      </c>
      <c r="E1732" s="12">
        <f>0.10264*E1683</f>
        <v>372.27425359999995</v>
      </c>
      <c r="F1732" s="12">
        <f>0.430096*F1683</f>
        <v>1559.95389104</v>
      </c>
    </row>
    <row r="1733" spans="1:6" ht="33.75">
      <c r="A1733" s="161" t="s">
        <v>21</v>
      </c>
      <c r="B1733" s="166">
        <f t="shared" si="29"/>
        <v>474652.801958602</v>
      </c>
      <c r="C1733" s="157">
        <f>C1700+C1724+C1731+C1732</f>
        <v>95434.89649991</v>
      </c>
      <c r="D1733" s="12">
        <f>D1700+D1724+D1731+D1732</f>
        <v>110191.52180658799</v>
      </c>
      <c r="E1733" s="12">
        <f>E1700+E1724+E1731</f>
        <v>139355.50068799</v>
      </c>
      <c r="F1733" s="12">
        <f>F1700+F1724+F1731+F1732</f>
        <v>129670.882964114</v>
      </c>
    </row>
    <row r="1734" spans="1:6" ht="45">
      <c r="A1734" s="161" t="s">
        <v>22</v>
      </c>
      <c r="B1734" s="162">
        <f>B1733/12/C1683</f>
        <v>10.90557188280553</v>
      </c>
      <c r="C1734" s="14">
        <f>C1733/C1683/3</f>
        <v>8.770807795620245</v>
      </c>
      <c r="D1734" s="14">
        <f>D1733/C1683/3</f>
        <v>10.12699435864523</v>
      </c>
      <c r="E1734" s="14">
        <f>E1733/3/C1683</f>
        <v>12.807268165245377</v>
      </c>
      <c r="F1734" s="14">
        <f>F1733/3/C1683</f>
        <v>11.917217211711272</v>
      </c>
    </row>
    <row r="1735" spans="1:6" ht="12.75">
      <c r="A1735" s="163" t="s">
        <v>34</v>
      </c>
      <c r="B1735" s="164">
        <f>B1687-B1733</f>
        <v>-68421.43195860198</v>
      </c>
      <c r="C1735" s="165">
        <f>C1687-C1733</f>
        <v>78.48350009000569</v>
      </c>
      <c r="D1735" s="165">
        <f>D1687-D1733+C1735</f>
        <v>-10014.708306497982</v>
      </c>
      <c r="E1735" s="165">
        <f>E1687-E1733-10030</f>
        <v>-53210.22068798999</v>
      </c>
      <c r="F1735" s="165">
        <f>F1687-F1733-53210</f>
        <v>-68436.502964114</v>
      </c>
    </row>
    <row r="1736" spans="1:6" ht="12.75">
      <c r="A1736" s="29"/>
      <c r="B1736" s="29"/>
      <c r="C1736" s="29"/>
      <c r="D1736" s="29"/>
      <c r="E1736" s="29"/>
      <c r="F1736" s="29"/>
    </row>
    <row r="1737" spans="1:6" ht="12.75">
      <c r="A1737" s="29" t="s">
        <v>44</v>
      </c>
      <c r="B1737" s="29"/>
      <c r="C1737" s="29"/>
      <c r="D1737" s="29"/>
      <c r="E1737" s="29"/>
      <c r="F1737" s="29"/>
    </row>
    <row r="1738" spans="1:6" ht="12.75">
      <c r="A1738" s="29" t="s">
        <v>579</v>
      </c>
      <c r="B1738" s="29"/>
      <c r="C1738" s="29"/>
      <c r="D1738" s="29"/>
      <c r="E1738" s="29"/>
      <c r="F1738" s="29"/>
    </row>
    <row r="1739" spans="1:6" ht="12.75">
      <c r="A1739" s="29" t="s">
        <v>45</v>
      </c>
      <c r="B1739" s="29"/>
      <c r="C1739" s="29"/>
      <c r="D1739" s="29"/>
      <c r="E1739" s="29"/>
      <c r="F1739" s="29"/>
    </row>
    <row r="1740" spans="1:6" ht="251.25" customHeight="1">
      <c r="A1740" s="29"/>
      <c r="B1740" s="29"/>
      <c r="C1740" s="29"/>
      <c r="D1740" s="29"/>
      <c r="E1740" s="29"/>
      <c r="F1740" s="29"/>
    </row>
    <row r="1741" spans="1:6" ht="12.75">
      <c r="A1741" s="120" t="s">
        <v>35</v>
      </c>
      <c r="B1741" s="120"/>
      <c r="C1741" s="29"/>
      <c r="D1741" s="29"/>
      <c r="E1741" s="29"/>
      <c r="F1741" s="29"/>
    </row>
    <row r="1742" spans="1:6" ht="12.75">
      <c r="A1742" s="29" t="s">
        <v>616</v>
      </c>
      <c r="B1742" s="29"/>
      <c r="C1742" s="29"/>
      <c r="D1742" s="29"/>
      <c r="E1742" s="29"/>
      <c r="F1742" s="29"/>
    </row>
    <row r="1743" spans="1:6" ht="12.75">
      <c r="A1743" s="29" t="s">
        <v>224</v>
      </c>
      <c r="B1743" s="29"/>
      <c r="C1743" s="29"/>
      <c r="D1743" s="29"/>
      <c r="E1743" s="29"/>
      <c r="F1743" s="29"/>
    </row>
    <row r="1744" spans="1:6" ht="12.75">
      <c r="A1744" s="29" t="s">
        <v>611</v>
      </c>
      <c r="B1744" s="29"/>
      <c r="C1744" s="29"/>
      <c r="D1744" s="29"/>
      <c r="E1744" s="29" t="s">
        <v>340</v>
      </c>
      <c r="F1744" s="29"/>
    </row>
    <row r="1745" spans="1:6" ht="12.75">
      <c r="A1745" s="10" t="s">
        <v>1</v>
      </c>
      <c r="B1745" s="10" t="s">
        <v>11</v>
      </c>
      <c r="C1745" s="10" t="s">
        <v>86</v>
      </c>
      <c r="D1745" s="10" t="s">
        <v>87</v>
      </c>
      <c r="E1745" s="10" t="s">
        <v>120</v>
      </c>
      <c r="F1745" s="10" t="s">
        <v>141</v>
      </c>
    </row>
    <row r="1746" spans="1:6" ht="12.75">
      <c r="A1746" s="22" t="s">
        <v>6</v>
      </c>
      <c r="B1746" s="22"/>
      <c r="C1746" s="10"/>
      <c r="D1746" s="5"/>
      <c r="E1746" s="5"/>
      <c r="F1746" s="5"/>
    </row>
    <row r="1747" spans="1:6" ht="12.75">
      <c r="A1747" s="5" t="s">
        <v>2</v>
      </c>
      <c r="B1747" s="5"/>
      <c r="C1747" s="10">
        <v>5</v>
      </c>
      <c r="D1747" s="5"/>
      <c r="E1747" s="5"/>
      <c r="F1747" s="5"/>
    </row>
    <row r="1748" spans="1:6" ht="12.75">
      <c r="A1748" s="5" t="s">
        <v>3</v>
      </c>
      <c r="B1748" s="5"/>
      <c r="C1748" s="10">
        <v>6</v>
      </c>
      <c r="D1748" s="5"/>
      <c r="E1748" s="5"/>
      <c r="F1748" s="5"/>
    </row>
    <row r="1749" spans="1:6" ht="12.75">
      <c r="A1749" s="5" t="s">
        <v>4</v>
      </c>
      <c r="B1749" s="5"/>
      <c r="C1749" s="10">
        <v>61</v>
      </c>
      <c r="D1749" s="5"/>
      <c r="E1749" s="5"/>
      <c r="F1749" s="5"/>
    </row>
    <row r="1750" spans="1:6" ht="12.75">
      <c r="A1750" s="5" t="s">
        <v>5</v>
      </c>
      <c r="B1750" s="10">
        <v>3621.21</v>
      </c>
      <c r="C1750" s="10">
        <v>3621.21</v>
      </c>
      <c r="D1750" s="10">
        <v>3621.21</v>
      </c>
      <c r="E1750" s="10">
        <v>3621.21</v>
      </c>
      <c r="F1750" s="10">
        <v>3621.21</v>
      </c>
    </row>
    <row r="1751" spans="1:6" ht="22.5">
      <c r="A1751" s="150" t="s">
        <v>7</v>
      </c>
      <c r="B1751" s="150"/>
      <c r="C1751" s="5" t="s">
        <v>36</v>
      </c>
      <c r="D1751" s="5"/>
      <c r="E1751" s="5"/>
      <c r="F1751" s="5"/>
    </row>
    <row r="1752" spans="1:6" ht="22.5">
      <c r="A1752" s="151" t="s">
        <v>8</v>
      </c>
      <c r="B1752" s="6">
        <f>C1752+D1752+E1752+F1752</f>
        <v>391002.11</v>
      </c>
      <c r="C1752" s="10">
        <v>84208.68</v>
      </c>
      <c r="D1752" s="10">
        <v>91245.23</v>
      </c>
      <c r="E1752" s="10">
        <v>174523.89</v>
      </c>
      <c r="F1752" s="10">
        <v>41024.31</v>
      </c>
    </row>
    <row r="1753" spans="1:6" ht="22.5">
      <c r="A1753" s="153" t="s">
        <v>9</v>
      </c>
      <c r="B1753" s="6">
        <f>C1753+D1753+E1753+F1753</f>
        <v>0</v>
      </c>
      <c r="C1753" s="10">
        <v>0</v>
      </c>
      <c r="D1753" s="10">
        <v>0</v>
      </c>
      <c r="E1753" s="10">
        <v>0</v>
      </c>
      <c r="F1753" s="10">
        <v>0</v>
      </c>
    </row>
    <row r="1754" spans="1:6" ht="12.75">
      <c r="A1754" s="5" t="s">
        <v>11</v>
      </c>
      <c r="B1754" s="150">
        <f>C1754+D1754+E1754+F1754</f>
        <v>391002.11</v>
      </c>
      <c r="C1754" s="22">
        <f>C1752+C1753</f>
        <v>84208.68</v>
      </c>
      <c r="D1754" s="22">
        <f>SUM(D1752:D1753)</f>
        <v>91245.23</v>
      </c>
      <c r="E1754" s="22">
        <f>SUM(E1752:E1753)</f>
        <v>174523.89</v>
      </c>
      <c r="F1754" s="22">
        <f>SUM(F1752:F1753)</f>
        <v>41024.31</v>
      </c>
    </row>
    <row r="1755" spans="1:6" ht="22.5">
      <c r="A1755" s="150" t="s">
        <v>12</v>
      </c>
      <c r="B1755" s="150"/>
      <c r="C1755" s="5"/>
      <c r="D1755" s="5"/>
      <c r="E1755" s="5"/>
      <c r="F1755" s="5"/>
    </row>
    <row r="1756" spans="1:7" ht="12.75">
      <c r="A1756" s="156" t="s">
        <v>13</v>
      </c>
      <c r="B1756" s="166">
        <f>C1756+D1756+E1756+F1756</f>
        <v>114346.83591249</v>
      </c>
      <c r="C1756" s="157">
        <f>7.5947*C1750</f>
        <v>27502.003587</v>
      </c>
      <c r="D1756" s="157">
        <f>7.632*C1750</f>
        <v>27637.07472</v>
      </c>
      <c r="E1756" s="157">
        <f>8.5526*E1750</f>
        <v>30970.760646</v>
      </c>
      <c r="F1756" s="157">
        <f>7.797669*F1750</f>
        <v>28236.99695949</v>
      </c>
      <c r="G1756" s="8"/>
    </row>
    <row r="1757" spans="1:6" ht="21.75">
      <c r="A1757" s="156" t="s">
        <v>14</v>
      </c>
      <c r="B1757" s="167">
        <f aca="true" t="shared" si="30" ref="B1757:B1796">C1757+D1757+E1757+F1757</f>
        <v>0</v>
      </c>
      <c r="C1757" s="12"/>
      <c r="D1757" s="12"/>
      <c r="E1757" s="12"/>
      <c r="F1757" s="12"/>
    </row>
    <row r="1758" spans="1:6" ht="12.75">
      <c r="A1758" s="153" t="s">
        <v>15</v>
      </c>
      <c r="B1758" s="167">
        <f t="shared" si="30"/>
        <v>131837.62</v>
      </c>
      <c r="C1758" s="12">
        <f>C1759+C1761+C1762</f>
        <v>28534.82</v>
      </c>
      <c r="D1758" s="12">
        <f>D1759+D1761+D1762+D1763+D1764+D1765</f>
        <v>31698.72</v>
      </c>
      <c r="E1758" s="12">
        <f>E1759+E1761+E1762+E1763+E1764+E1765</f>
        <v>40116.04</v>
      </c>
      <c r="F1758" s="12">
        <f>F1759+F1761+F1762+F1763+F1764+F1765</f>
        <v>31488.04</v>
      </c>
    </row>
    <row r="1759" spans="1:6" ht="12.75">
      <c r="A1759" s="158" t="s">
        <v>16</v>
      </c>
      <c r="B1759" s="167">
        <f t="shared" si="30"/>
        <v>119885</v>
      </c>
      <c r="C1759" s="165">
        <v>28153</v>
      </c>
      <c r="D1759" s="12">
        <v>26905</v>
      </c>
      <c r="E1759" s="12">
        <v>34102</v>
      </c>
      <c r="F1759" s="12">
        <v>30725</v>
      </c>
    </row>
    <row r="1760" spans="1:6" ht="12.75">
      <c r="A1760" s="153" t="s">
        <v>33</v>
      </c>
      <c r="B1760" s="167">
        <f t="shared" si="30"/>
        <v>77497.5</v>
      </c>
      <c r="C1760" s="165">
        <v>16261.5</v>
      </c>
      <c r="D1760" s="12">
        <v>18040</v>
      </c>
      <c r="E1760" s="12">
        <v>21598</v>
      </c>
      <c r="F1760" s="12">
        <v>21598</v>
      </c>
    </row>
    <row r="1761" spans="1:6" ht="12.75">
      <c r="A1761" s="153" t="s">
        <v>24</v>
      </c>
      <c r="B1761" s="167">
        <f t="shared" si="30"/>
        <v>2113.5299999999997</v>
      </c>
      <c r="C1761" s="12">
        <v>211.63</v>
      </c>
      <c r="D1761" s="12">
        <v>508.32</v>
      </c>
      <c r="E1761" s="12">
        <v>680.54</v>
      </c>
      <c r="F1761" s="12">
        <v>713.04</v>
      </c>
    </row>
    <row r="1762" spans="1:6" ht="12.75">
      <c r="A1762" s="153" t="s">
        <v>17</v>
      </c>
      <c r="B1762" s="167">
        <f t="shared" si="30"/>
        <v>170.19</v>
      </c>
      <c r="C1762" s="12">
        <v>170.19</v>
      </c>
      <c r="D1762" s="12"/>
      <c r="E1762" s="12"/>
      <c r="F1762" s="12"/>
    </row>
    <row r="1763" spans="1:6" ht="12.75">
      <c r="A1763" s="153" t="s">
        <v>277</v>
      </c>
      <c r="B1763" s="167">
        <f t="shared" si="30"/>
        <v>1445</v>
      </c>
      <c r="C1763" s="12"/>
      <c r="D1763" s="12">
        <v>1395</v>
      </c>
      <c r="E1763" s="12"/>
      <c r="F1763" s="12">
        <v>50</v>
      </c>
    </row>
    <row r="1764" spans="1:6" ht="12.75">
      <c r="A1764" s="153" t="s">
        <v>65</v>
      </c>
      <c r="B1764" s="167">
        <f t="shared" si="30"/>
        <v>559.9</v>
      </c>
      <c r="C1764" s="12"/>
      <c r="D1764" s="12">
        <v>297.4</v>
      </c>
      <c r="E1764" s="12">
        <v>262.5</v>
      </c>
      <c r="F1764" s="12"/>
    </row>
    <row r="1765" spans="1:6" ht="12.75">
      <c r="A1765" s="153" t="s">
        <v>406</v>
      </c>
      <c r="B1765" s="167">
        <f t="shared" si="30"/>
        <v>7664</v>
      </c>
      <c r="C1765" s="12"/>
      <c r="D1765" s="12">
        <v>2593</v>
      </c>
      <c r="E1765" s="12">
        <v>5071</v>
      </c>
      <c r="F1765" s="12"/>
    </row>
    <row r="1766" spans="1:6" ht="12.75">
      <c r="A1766" s="155" t="s">
        <v>11</v>
      </c>
      <c r="B1766" s="166">
        <f t="shared" si="30"/>
        <v>246184.45591248997</v>
      </c>
      <c r="C1766" s="157">
        <f>C1756+C1758</f>
        <v>56036.823587</v>
      </c>
      <c r="D1766" s="157">
        <f>D1756+D1758</f>
        <v>59335.794720000005</v>
      </c>
      <c r="E1766" s="157">
        <f>E1756+E1758</f>
        <v>71086.800646</v>
      </c>
      <c r="F1766" s="157">
        <f>F1756+F1758</f>
        <v>59725.03695949</v>
      </c>
    </row>
    <row r="1767" spans="1:6" ht="21.75">
      <c r="A1767" s="159" t="s">
        <v>18</v>
      </c>
      <c r="B1767" s="167">
        <f t="shared" si="30"/>
        <v>0</v>
      </c>
      <c r="C1767" s="12"/>
      <c r="D1767" s="12"/>
      <c r="E1767" s="12"/>
      <c r="F1767" s="12"/>
    </row>
    <row r="1768" spans="1:6" ht="12.75">
      <c r="A1768" s="153" t="s">
        <v>23</v>
      </c>
      <c r="B1768" s="167">
        <f t="shared" si="30"/>
        <v>88801.846467</v>
      </c>
      <c r="C1768" s="165">
        <f>5.3352*C1750</f>
        <v>19319.879592</v>
      </c>
      <c r="D1768" s="12">
        <f>6.1735*C1750</f>
        <v>22355.539935</v>
      </c>
      <c r="E1768" s="12">
        <f>6.4099*E1750</f>
        <v>23211.593979</v>
      </c>
      <c r="F1768" s="12">
        <f>6.6041*F1750</f>
        <v>23914.832961</v>
      </c>
    </row>
    <row r="1769" spans="1:6" ht="12.75">
      <c r="A1769" s="153" t="s">
        <v>281</v>
      </c>
      <c r="B1769" s="167">
        <f t="shared" si="30"/>
        <v>10822</v>
      </c>
      <c r="C1769" s="12"/>
      <c r="D1769" s="12">
        <v>10822</v>
      </c>
      <c r="E1769" s="12"/>
      <c r="F1769" s="12"/>
    </row>
    <row r="1770" spans="1:6" ht="12.75">
      <c r="A1770" s="153" t="s">
        <v>100</v>
      </c>
      <c r="B1770" s="167">
        <f t="shared" si="30"/>
        <v>304539</v>
      </c>
      <c r="C1770" s="12"/>
      <c r="D1770" s="12"/>
      <c r="E1770" s="12">
        <v>304539</v>
      </c>
      <c r="F1770" s="12"/>
    </row>
    <row r="1771" spans="1:6" ht="12.75">
      <c r="A1771" s="153" t="s">
        <v>30</v>
      </c>
      <c r="B1771" s="167">
        <f t="shared" si="30"/>
        <v>30965</v>
      </c>
      <c r="C1771" s="12">
        <v>3220</v>
      </c>
      <c r="D1771" s="12">
        <v>17683</v>
      </c>
      <c r="E1771" s="12">
        <v>5064</v>
      </c>
      <c r="F1771" s="12">
        <v>4998</v>
      </c>
    </row>
    <row r="1772" spans="1:6" ht="12.75">
      <c r="A1772" s="153" t="s">
        <v>28</v>
      </c>
      <c r="B1772" s="167">
        <f t="shared" si="30"/>
        <v>2559.5</v>
      </c>
      <c r="C1772" s="12">
        <v>762</v>
      </c>
      <c r="D1772" s="12">
        <v>1165.5</v>
      </c>
      <c r="E1772" s="12">
        <v>632</v>
      </c>
      <c r="F1772" s="12"/>
    </row>
    <row r="1773" spans="1:6" ht="12.75">
      <c r="A1773" s="153" t="s">
        <v>41</v>
      </c>
      <c r="B1773" s="167">
        <f t="shared" si="30"/>
        <v>11723</v>
      </c>
      <c r="C1773" s="12"/>
      <c r="D1773" s="12"/>
      <c r="E1773" s="12">
        <v>11723</v>
      </c>
      <c r="F1773" s="12"/>
    </row>
    <row r="1774" spans="1:6" ht="12.75">
      <c r="A1774" s="153" t="s">
        <v>50</v>
      </c>
      <c r="B1774" s="167">
        <f t="shared" si="30"/>
        <v>8782</v>
      </c>
      <c r="C1774" s="12">
        <v>1794</v>
      </c>
      <c r="D1774" s="12">
        <v>5530</v>
      </c>
      <c r="E1774" s="12">
        <v>1458</v>
      </c>
      <c r="F1774" s="12"/>
    </row>
    <row r="1775" spans="1:6" ht="12.75">
      <c r="A1775" s="153" t="s">
        <v>52</v>
      </c>
      <c r="B1775" s="167">
        <f t="shared" si="30"/>
        <v>7120.87</v>
      </c>
      <c r="C1775" s="12">
        <v>6292.37</v>
      </c>
      <c r="D1775" s="12">
        <v>828.5</v>
      </c>
      <c r="E1775" s="12"/>
      <c r="F1775" s="12"/>
    </row>
    <row r="1776" spans="1:6" ht="22.5">
      <c r="A1776" s="153" t="s">
        <v>225</v>
      </c>
      <c r="B1776" s="167">
        <f t="shared" si="30"/>
        <v>519.01</v>
      </c>
      <c r="C1776" s="12">
        <v>519.01</v>
      </c>
      <c r="D1776" s="12"/>
      <c r="E1776" s="12"/>
      <c r="F1776" s="12"/>
    </row>
    <row r="1777" spans="1:6" ht="12.75">
      <c r="A1777" s="153" t="s">
        <v>27</v>
      </c>
      <c r="B1777" s="167">
        <f t="shared" si="30"/>
        <v>262</v>
      </c>
      <c r="C1777" s="12"/>
      <c r="D1777" s="12">
        <v>262</v>
      </c>
      <c r="E1777" s="12"/>
      <c r="F1777" s="12"/>
    </row>
    <row r="1778" spans="1:6" ht="12.75">
      <c r="A1778" s="153" t="s">
        <v>354</v>
      </c>
      <c r="B1778" s="167">
        <f t="shared" si="30"/>
        <v>1620</v>
      </c>
      <c r="C1778" s="12"/>
      <c r="D1778" s="12"/>
      <c r="E1778" s="12">
        <v>1620</v>
      </c>
      <c r="F1778" s="12"/>
    </row>
    <row r="1779" spans="1:6" ht="12.75">
      <c r="A1779" s="153" t="s">
        <v>47</v>
      </c>
      <c r="B1779" s="167">
        <f t="shared" si="30"/>
        <v>834</v>
      </c>
      <c r="C1779" s="12">
        <v>534</v>
      </c>
      <c r="D1779" s="12"/>
      <c r="E1779" s="12">
        <v>300</v>
      </c>
      <c r="F1779" s="12"/>
    </row>
    <row r="1780" spans="1:6" ht="12.75">
      <c r="A1780" s="153" t="s">
        <v>282</v>
      </c>
      <c r="B1780" s="167">
        <f t="shared" si="30"/>
        <v>495</v>
      </c>
      <c r="C1780" s="12"/>
      <c r="D1780" s="12">
        <v>495</v>
      </c>
      <c r="E1780" s="12"/>
      <c r="F1780" s="12"/>
    </row>
    <row r="1781" spans="1:6" ht="22.5">
      <c r="A1781" s="153" t="s">
        <v>504</v>
      </c>
      <c r="B1781" s="167">
        <f t="shared" si="30"/>
        <v>10800</v>
      </c>
      <c r="C1781" s="12"/>
      <c r="D1781" s="12"/>
      <c r="E1781" s="12"/>
      <c r="F1781" s="12">
        <v>10800</v>
      </c>
    </row>
    <row r="1782" spans="1:6" ht="12.75">
      <c r="A1782" s="153" t="s">
        <v>497</v>
      </c>
      <c r="B1782" s="167">
        <f t="shared" si="30"/>
        <v>0</v>
      </c>
      <c r="C1782" s="12"/>
      <c r="D1782" s="12"/>
      <c r="E1782" s="12"/>
      <c r="F1782" s="30">
        <v>0</v>
      </c>
    </row>
    <row r="1783" spans="1:6" ht="12.75">
      <c r="A1783" s="153" t="s">
        <v>407</v>
      </c>
      <c r="B1783" s="167">
        <f t="shared" si="30"/>
        <v>10892</v>
      </c>
      <c r="C1783" s="12"/>
      <c r="D1783" s="12"/>
      <c r="E1783" s="12">
        <v>10892</v>
      </c>
      <c r="F1783" s="12"/>
    </row>
    <row r="1784" spans="1:6" ht="12.75">
      <c r="A1784" s="153" t="s">
        <v>453</v>
      </c>
      <c r="B1784" s="167">
        <f t="shared" si="30"/>
        <v>910</v>
      </c>
      <c r="C1784" s="12"/>
      <c r="D1784" s="12"/>
      <c r="E1784" s="12"/>
      <c r="F1784" s="12">
        <v>910</v>
      </c>
    </row>
    <row r="1785" spans="1:6" ht="12.75">
      <c r="A1785" s="153" t="s">
        <v>237</v>
      </c>
      <c r="B1785" s="167">
        <f t="shared" si="30"/>
        <v>2715</v>
      </c>
      <c r="C1785" s="12">
        <v>2715</v>
      </c>
      <c r="D1785" s="12"/>
      <c r="E1785" s="12"/>
      <c r="F1785" s="12"/>
    </row>
    <row r="1786" spans="1:6" ht="12.75">
      <c r="A1786" s="153" t="s">
        <v>115</v>
      </c>
      <c r="B1786" s="167">
        <f t="shared" si="30"/>
        <v>2171.4</v>
      </c>
      <c r="C1786" s="12"/>
      <c r="D1786" s="12"/>
      <c r="E1786" s="12">
        <v>2171.4</v>
      </c>
      <c r="F1786" s="12"/>
    </row>
    <row r="1787" spans="1:6" ht="12.75">
      <c r="A1787" s="155" t="s">
        <v>11</v>
      </c>
      <c r="B1787" s="166">
        <f t="shared" si="30"/>
        <v>496531.626467</v>
      </c>
      <c r="C1787" s="157">
        <f>C1768+C1769+C1770+C1771+C1772+C1773+C1774+C1775+C1776+C1777+C1778+C1779+C1780+C1781+C1782+C1783+C1784+C1785+C1786</f>
        <v>35156.259592</v>
      </c>
      <c r="D1787" s="157">
        <f>SUM(D1768:D1786)</f>
        <v>59141.539935</v>
      </c>
      <c r="E1787" s="157">
        <f>SUM(E1768:E1786)</f>
        <v>361610.993979</v>
      </c>
      <c r="F1787" s="157">
        <f>SUM(F1768:F1786)</f>
        <v>40622.832961</v>
      </c>
    </row>
    <row r="1788" spans="1:6" ht="12.75">
      <c r="A1788" s="155" t="s">
        <v>19</v>
      </c>
      <c r="B1788" s="167">
        <f t="shared" si="30"/>
        <v>0</v>
      </c>
      <c r="C1788" s="12"/>
      <c r="D1788" s="12"/>
      <c r="E1788" s="12"/>
      <c r="F1788" s="12"/>
    </row>
    <row r="1789" spans="1:6" ht="12.75">
      <c r="A1789" s="153" t="s">
        <v>38</v>
      </c>
      <c r="B1789" s="167">
        <f t="shared" si="30"/>
        <v>3044.10862593</v>
      </c>
      <c r="C1789" s="12">
        <f>0.218666*C1750</f>
        <v>791.83550586</v>
      </c>
      <c r="D1789" s="12">
        <f>0.210458*C1750</f>
        <v>762.11261418</v>
      </c>
      <c r="E1789" s="12">
        <f>0.167241*E1750</f>
        <v>605.61478161</v>
      </c>
      <c r="F1789" s="12">
        <f>0.244268*F1750</f>
        <v>884.5457242800001</v>
      </c>
    </row>
    <row r="1790" spans="1:6" ht="12.75">
      <c r="A1790" s="153" t="s">
        <v>39</v>
      </c>
      <c r="B1790" s="167">
        <f t="shared" si="30"/>
        <v>6036.26375199</v>
      </c>
      <c r="C1790" s="12">
        <f>0.306583*C1750</f>
        <v>1110.20142543</v>
      </c>
      <c r="D1790" s="12">
        <f>0.0733554*C1750</f>
        <v>265.635308034</v>
      </c>
      <c r="E1790" s="12">
        <f>0.536065*E1750</f>
        <v>1941.20393865</v>
      </c>
      <c r="F1790" s="12">
        <f>0.7509156*F1750</f>
        <v>2719.223079876</v>
      </c>
    </row>
    <row r="1791" spans="1:6" ht="12.75">
      <c r="A1791" s="153" t="s">
        <v>32</v>
      </c>
      <c r="B1791" s="167">
        <f t="shared" si="30"/>
        <v>0</v>
      </c>
      <c r="C1791" s="12"/>
      <c r="D1791" s="12"/>
      <c r="E1791" s="12"/>
      <c r="F1791" s="12"/>
    </row>
    <row r="1792" spans="1:6" ht="12.75">
      <c r="A1792" s="153" t="s">
        <v>37</v>
      </c>
      <c r="B1792" s="167">
        <f t="shared" si="30"/>
        <v>7798.474177308</v>
      </c>
      <c r="C1792" s="12">
        <f>0.70476*C1750</f>
        <v>2552.0839596</v>
      </c>
      <c r="D1792" s="12">
        <f>0.3731258*C1750</f>
        <v>1351.166878218</v>
      </c>
      <c r="E1792" s="12">
        <f>0.553205*E1750</f>
        <v>2003.2714780499998</v>
      </c>
      <c r="F1792" s="12">
        <f>0.522464*F1750</f>
        <v>1891.9518614400001</v>
      </c>
    </row>
    <row r="1793" spans="1:6" ht="12.75">
      <c r="A1793" s="153" t="s">
        <v>20</v>
      </c>
      <c r="B1793" s="167">
        <f t="shared" si="30"/>
        <v>2883.67091688</v>
      </c>
      <c r="C1793" s="12"/>
      <c r="D1793" s="12">
        <f>0.158142*C1750</f>
        <v>572.66539182</v>
      </c>
      <c r="E1793" s="12">
        <f>0.60489*E1750</f>
        <v>2190.4337169</v>
      </c>
      <c r="F1793" s="12">
        <f>0.033296*F1750</f>
        <v>120.57180816</v>
      </c>
    </row>
    <row r="1794" spans="1:6" ht="12.75">
      <c r="A1794" s="156" t="s">
        <v>11</v>
      </c>
      <c r="B1794" s="167">
        <f t="shared" si="30"/>
        <v>19762.517472108</v>
      </c>
      <c r="C1794" s="157">
        <f>C1789+C1790+C1791+C1792+C1793</f>
        <v>4454.12089089</v>
      </c>
      <c r="D1794" s="157">
        <f>SUM(D1789:D1793)</f>
        <v>2951.580192252</v>
      </c>
      <c r="E1794" s="12">
        <f>SUM(E1789:E1793)</f>
        <v>6740.52391521</v>
      </c>
      <c r="F1794" s="12">
        <f>SUM(F1789:F1793)</f>
        <v>5616.292473756001</v>
      </c>
    </row>
    <row r="1795" spans="1:6" ht="12.75">
      <c r="A1795" s="153" t="s">
        <v>101</v>
      </c>
      <c r="B1795" s="167">
        <f t="shared" si="30"/>
        <v>2363.3548545599997</v>
      </c>
      <c r="C1795" s="157">
        <f>0.0644*C1750</f>
        <v>233.205924</v>
      </c>
      <c r="D1795" s="157">
        <v>201</v>
      </c>
      <c r="E1795" s="12">
        <f>0.10264*E1750</f>
        <v>371.6809944</v>
      </c>
      <c r="F1795" s="12">
        <f>0.430096*F1750</f>
        <v>1557.46793616</v>
      </c>
    </row>
    <row r="1796" spans="1:6" ht="33.75">
      <c r="A1796" s="161" t="s">
        <v>21</v>
      </c>
      <c r="B1796" s="166">
        <f t="shared" si="30"/>
        <v>764470.2737117581</v>
      </c>
      <c r="C1796" s="157">
        <f>C1766+C1787+C1794+C1795</f>
        <v>95880.40999389</v>
      </c>
      <c r="D1796" s="157">
        <f>D1766+D1787+D1794+D1795</f>
        <v>121629.91484725202</v>
      </c>
      <c r="E1796" s="157">
        <f>E1766+E1787+E1794</f>
        <v>439438.31854021</v>
      </c>
      <c r="F1796" s="157">
        <f>F1766+F1787+F1794+F1795</f>
        <v>107521.63033040598</v>
      </c>
    </row>
    <row r="1797" spans="1:6" ht="45">
      <c r="A1797" s="161" t="s">
        <v>22</v>
      </c>
      <c r="B1797" s="162">
        <f>B1796/12/C1750</f>
        <v>17.59242246173144</v>
      </c>
      <c r="C1797" s="14">
        <f>C1796/C1750/3</f>
        <v>8.82581696853538</v>
      </c>
      <c r="D1797" s="14">
        <f>D1796/3/C1750</f>
        <v>11.196065665643253</v>
      </c>
      <c r="E1797" s="14">
        <f>E1796/3/C1750</f>
        <v>40.45041284913146</v>
      </c>
      <c r="F1797" s="14">
        <f>F1796/3/C1750</f>
        <v>9.897394363615659</v>
      </c>
    </row>
    <row r="1798" spans="1:6" ht="12.75">
      <c r="A1798" s="163" t="s">
        <v>34</v>
      </c>
      <c r="B1798" s="154">
        <f>B1754-B1796</f>
        <v>-373468.1637117581</v>
      </c>
      <c r="C1798" s="165">
        <f>C1754-C1796</f>
        <v>-11671.72999389001</v>
      </c>
      <c r="D1798" s="12">
        <f>D1754-D1796-11671</f>
        <v>-42055.68484725202</v>
      </c>
      <c r="E1798" s="12">
        <f>E1754-E1796-42056</f>
        <v>-306970.42854021</v>
      </c>
      <c r="F1798" s="12">
        <f>F1754-F1796-306970</f>
        <v>-373467.32033040596</v>
      </c>
    </row>
    <row r="1799" spans="1:6" ht="12.75">
      <c r="A1799" s="29"/>
      <c r="B1799" s="29"/>
      <c r="C1799" s="29"/>
      <c r="D1799" s="29"/>
      <c r="E1799" s="29"/>
      <c r="F1799" s="29"/>
    </row>
    <row r="1800" spans="1:6" ht="12.75">
      <c r="A1800" s="29" t="s">
        <v>44</v>
      </c>
      <c r="B1800" s="29"/>
      <c r="C1800" s="29"/>
      <c r="D1800" s="29"/>
      <c r="E1800" s="29"/>
      <c r="F1800" s="29"/>
    </row>
    <row r="1801" spans="1:6" ht="12.75">
      <c r="A1801" s="29" t="s">
        <v>579</v>
      </c>
      <c r="B1801" s="29"/>
      <c r="C1801" s="29"/>
      <c r="D1801" s="29"/>
      <c r="E1801" s="29"/>
      <c r="F1801" s="29"/>
    </row>
    <row r="1802" spans="1:6" ht="12.75">
      <c r="A1802" s="29" t="s">
        <v>45</v>
      </c>
      <c r="B1802" s="29"/>
      <c r="C1802" s="29"/>
      <c r="D1802" s="29"/>
      <c r="E1802" s="29"/>
      <c r="F1802" s="29"/>
    </row>
    <row r="1803" spans="1:6" ht="300" customHeight="1">
      <c r="A1803" s="29"/>
      <c r="B1803" s="29"/>
      <c r="C1803" s="29"/>
      <c r="D1803" s="29"/>
      <c r="E1803" s="29"/>
      <c r="F1803" s="29"/>
    </row>
    <row r="1804" spans="1:6" ht="12.75">
      <c r="A1804" s="120" t="s">
        <v>35</v>
      </c>
      <c r="B1804" s="120"/>
      <c r="C1804" s="29"/>
      <c r="D1804" s="29"/>
      <c r="E1804" s="29"/>
      <c r="F1804" s="29"/>
    </row>
    <row r="1805" spans="1:6" ht="12.75">
      <c r="A1805" s="29" t="s">
        <v>616</v>
      </c>
      <c r="B1805" s="29"/>
      <c r="C1805" s="29"/>
      <c r="D1805" s="29"/>
      <c r="E1805" s="29"/>
      <c r="F1805" s="29"/>
    </row>
    <row r="1806" spans="1:6" ht="12.75">
      <c r="A1806" s="29" t="s">
        <v>224</v>
      </c>
      <c r="B1806" s="29"/>
      <c r="C1806" s="29"/>
      <c r="D1806" s="29"/>
      <c r="E1806" s="29"/>
      <c r="F1806" s="29"/>
    </row>
    <row r="1807" spans="1:6" ht="12.75">
      <c r="A1807" s="29" t="s">
        <v>612</v>
      </c>
      <c r="B1807" s="29"/>
      <c r="C1807" s="29"/>
      <c r="D1807" s="29"/>
      <c r="E1807" s="29" t="s">
        <v>340</v>
      </c>
      <c r="F1807" s="29"/>
    </row>
    <row r="1808" spans="1:6" ht="12.75">
      <c r="A1808" s="10" t="s">
        <v>1</v>
      </c>
      <c r="B1808" s="10" t="s">
        <v>11</v>
      </c>
      <c r="C1808" s="10" t="s">
        <v>86</v>
      </c>
      <c r="D1808" s="10" t="s">
        <v>87</v>
      </c>
      <c r="E1808" s="10" t="s">
        <v>120</v>
      </c>
      <c r="F1808" s="10" t="s">
        <v>141</v>
      </c>
    </row>
    <row r="1809" spans="1:6" ht="12.75">
      <c r="A1809" s="22" t="s">
        <v>6</v>
      </c>
      <c r="B1809" s="22"/>
      <c r="C1809" s="10"/>
      <c r="D1809" s="5"/>
      <c r="E1809" s="5"/>
      <c r="F1809" s="5"/>
    </row>
    <row r="1810" spans="1:6" ht="12.75">
      <c r="A1810" s="5" t="s">
        <v>2</v>
      </c>
      <c r="B1810" s="5"/>
      <c r="C1810" s="10">
        <v>5</v>
      </c>
      <c r="D1810" s="5"/>
      <c r="E1810" s="5"/>
      <c r="F1810" s="5"/>
    </row>
    <row r="1811" spans="1:6" ht="12.75">
      <c r="A1811" s="5" t="s">
        <v>3</v>
      </c>
      <c r="B1811" s="5"/>
      <c r="C1811" s="10">
        <v>6</v>
      </c>
      <c r="D1811" s="5"/>
      <c r="E1811" s="5"/>
      <c r="F1811" s="5"/>
    </row>
    <row r="1812" spans="1:6" ht="12.75">
      <c r="A1812" s="5" t="s">
        <v>4</v>
      </c>
      <c r="B1812" s="5"/>
      <c r="C1812" s="10">
        <v>60</v>
      </c>
      <c r="D1812" s="5"/>
      <c r="E1812" s="5"/>
      <c r="F1812" s="5"/>
    </row>
    <row r="1813" spans="1:6" ht="12.75">
      <c r="A1813" s="5" t="s">
        <v>5</v>
      </c>
      <c r="B1813" s="10">
        <v>3616.22</v>
      </c>
      <c r="C1813" s="10">
        <v>3616.22</v>
      </c>
      <c r="D1813" s="10">
        <v>3616.22</v>
      </c>
      <c r="E1813" s="10">
        <v>3616.22</v>
      </c>
      <c r="F1813" s="10">
        <v>3616.22</v>
      </c>
    </row>
    <row r="1814" spans="1:6" ht="22.5">
      <c r="A1814" s="150" t="s">
        <v>7</v>
      </c>
      <c r="B1814" s="150"/>
      <c r="C1814" s="5" t="s">
        <v>36</v>
      </c>
      <c r="D1814" s="5"/>
      <c r="E1814" s="5"/>
      <c r="F1814" s="5"/>
    </row>
    <row r="1815" spans="1:6" ht="22.5">
      <c r="A1815" s="151" t="s">
        <v>8</v>
      </c>
      <c r="B1815" s="6">
        <f>C1815+D1815+E1815+F1815</f>
        <v>430614.6</v>
      </c>
      <c r="C1815" s="10">
        <v>106801.06</v>
      </c>
      <c r="D1815" s="10">
        <v>105370.13</v>
      </c>
      <c r="E1815" s="10">
        <v>115490.3</v>
      </c>
      <c r="F1815" s="10">
        <v>102953.11</v>
      </c>
    </row>
    <row r="1816" spans="1:6" ht="22.5">
      <c r="A1816" s="153" t="s">
        <v>9</v>
      </c>
      <c r="B1816" s="6">
        <f>C1816+D1816+E1816+F1816</f>
        <v>0</v>
      </c>
      <c r="C1816" s="10">
        <v>0</v>
      </c>
      <c r="D1816" s="10">
        <v>0</v>
      </c>
      <c r="E1816" s="10">
        <v>0</v>
      </c>
      <c r="F1816" s="10">
        <v>0</v>
      </c>
    </row>
    <row r="1817" spans="1:6" ht="12.75">
      <c r="A1817" s="5" t="s">
        <v>11</v>
      </c>
      <c r="B1817" s="150">
        <f>C1817+D1817+E1817+F1817</f>
        <v>430614.6</v>
      </c>
      <c r="C1817" s="22">
        <f>C1815+C1816</f>
        <v>106801.06</v>
      </c>
      <c r="D1817" s="22">
        <f>SUM(D1815:D1816)</f>
        <v>105370.13</v>
      </c>
      <c r="E1817" s="22">
        <f>SUM(E1815:E1816)</f>
        <v>115490.3</v>
      </c>
      <c r="F1817" s="22">
        <f>SUM(F1815:F1816)</f>
        <v>102953.11</v>
      </c>
    </row>
    <row r="1818" spans="1:6" ht="22.5">
      <c r="A1818" s="150" t="s">
        <v>12</v>
      </c>
      <c r="B1818" s="150"/>
      <c r="C1818" s="5"/>
      <c r="D1818" s="5"/>
      <c r="E1818" s="5"/>
      <c r="F1818" s="5"/>
    </row>
    <row r="1819" spans="1:7" ht="12.75">
      <c r="A1819" s="156" t="s">
        <v>13</v>
      </c>
      <c r="B1819" s="166">
        <f>C1819+D1819+E1819+F1819</f>
        <v>114189.26683717998</v>
      </c>
      <c r="C1819" s="157">
        <f>7.5947*C1813</f>
        <v>27464.106033999997</v>
      </c>
      <c r="D1819" s="157">
        <f>7.632*C1813</f>
        <v>27598.991039999997</v>
      </c>
      <c r="E1819" s="157">
        <f>8.5526*E1813</f>
        <v>30928.083172</v>
      </c>
      <c r="F1819" s="157">
        <f>7.797669*F1813</f>
        <v>28198.08659118</v>
      </c>
      <c r="G1819" s="8"/>
    </row>
    <row r="1820" spans="1:6" ht="21.75">
      <c r="A1820" s="156" t="s">
        <v>14</v>
      </c>
      <c r="B1820" s="167">
        <f aca="true" t="shared" si="31" ref="B1820:B1859">C1820+D1820+E1820+F1820</f>
        <v>0</v>
      </c>
      <c r="C1820" s="12"/>
      <c r="D1820" s="12"/>
      <c r="E1820" s="12"/>
      <c r="F1820" s="12"/>
    </row>
    <row r="1821" spans="1:6" ht="12.75">
      <c r="A1821" s="153" t="s">
        <v>15</v>
      </c>
      <c r="B1821" s="167">
        <f t="shared" si="31"/>
        <v>132952.06</v>
      </c>
      <c r="C1821" s="12">
        <f>C1822+C1824</f>
        <v>30969.71</v>
      </c>
      <c r="D1821" s="12">
        <f>D1822+D1824+D1825+D1826+D1827+D1828</f>
        <v>31977.93</v>
      </c>
      <c r="E1821" s="12">
        <f>E1822+E1824+E1825+E1826+E1827+E1828</f>
        <v>38531.5</v>
      </c>
      <c r="F1821" s="12">
        <f>F1822+F1824+F1825+F1826+F1827+F1828</f>
        <v>31472.92</v>
      </c>
    </row>
    <row r="1822" spans="1:6" ht="12.75">
      <c r="A1822" s="158" t="s">
        <v>16</v>
      </c>
      <c r="B1822" s="167">
        <f t="shared" si="31"/>
        <v>124196</v>
      </c>
      <c r="C1822" s="165">
        <v>30758</v>
      </c>
      <c r="D1822" s="12">
        <v>28641</v>
      </c>
      <c r="E1822" s="12">
        <v>34085</v>
      </c>
      <c r="F1822" s="12">
        <v>30712</v>
      </c>
    </row>
    <row r="1823" spans="1:6" ht="12.75">
      <c r="A1823" s="153" t="s">
        <v>33</v>
      </c>
      <c r="B1823" s="167">
        <f t="shared" si="31"/>
        <v>81869.08</v>
      </c>
      <c r="C1823" s="165">
        <v>18884.33</v>
      </c>
      <c r="D1823" s="12">
        <v>19788.75</v>
      </c>
      <c r="E1823" s="12">
        <v>21598</v>
      </c>
      <c r="F1823" s="12">
        <v>21598</v>
      </c>
    </row>
    <row r="1824" spans="1:6" ht="12.75">
      <c r="A1824" s="153" t="s">
        <v>24</v>
      </c>
      <c r="B1824" s="167">
        <f t="shared" si="31"/>
        <v>2112.16</v>
      </c>
      <c r="C1824" s="12">
        <v>211.71</v>
      </c>
      <c r="D1824" s="12">
        <v>508.53</v>
      </c>
      <c r="E1824" s="12">
        <v>681</v>
      </c>
      <c r="F1824" s="12">
        <v>710.92</v>
      </c>
    </row>
    <row r="1825" spans="1:6" ht="12.75">
      <c r="A1825" s="153" t="s">
        <v>17</v>
      </c>
      <c r="B1825" s="167">
        <f t="shared" si="31"/>
        <v>0</v>
      </c>
      <c r="C1825" s="12"/>
      <c r="D1825" s="12"/>
      <c r="E1825" s="12"/>
      <c r="F1825" s="12"/>
    </row>
    <row r="1826" spans="1:6" ht="12.75">
      <c r="A1826" s="153" t="s">
        <v>40</v>
      </c>
      <c r="B1826" s="167">
        <f t="shared" si="31"/>
        <v>50</v>
      </c>
      <c r="C1826" s="12"/>
      <c r="D1826" s="12"/>
      <c r="E1826" s="12"/>
      <c r="F1826" s="12">
        <v>50</v>
      </c>
    </row>
    <row r="1827" spans="1:6" ht="12.75">
      <c r="A1827" s="153" t="s">
        <v>65</v>
      </c>
      <c r="B1827" s="167">
        <f t="shared" si="31"/>
        <v>559.9</v>
      </c>
      <c r="C1827" s="12"/>
      <c r="D1827" s="12">
        <v>297.4</v>
      </c>
      <c r="E1827" s="12">
        <v>262.5</v>
      </c>
      <c r="F1827" s="12"/>
    </row>
    <row r="1828" spans="1:6" ht="12.75">
      <c r="A1828" s="153" t="s">
        <v>411</v>
      </c>
      <c r="B1828" s="167">
        <f t="shared" si="31"/>
        <v>6034</v>
      </c>
      <c r="C1828" s="12"/>
      <c r="D1828" s="12">
        <v>2531</v>
      </c>
      <c r="E1828" s="12">
        <v>3503</v>
      </c>
      <c r="F1828" s="12"/>
    </row>
    <row r="1829" spans="1:6" ht="12.75">
      <c r="A1829" s="155" t="s">
        <v>11</v>
      </c>
      <c r="B1829" s="166">
        <f t="shared" si="31"/>
        <v>247141.32683718</v>
      </c>
      <c r="C1829" s="157">
        <f>C1819+C1821</f>
        <v>58433.816033999996</v>
      </c>
      <c r="D1829" s="157">
        <f>D1819+D1821</f>
        <v>59576.92104</v>
      </c>
      <c r="E1829" s="157">
        <f>E1819+E1821</f>
        <v>69459.583172</v>
      </c>
      <c r="F1829" s="157">
        <f>F1819+F1821</f>
        <v>59671.00659118</v>
      </c>
    </row>
    <row r="1830" spans="1:6" ht="21.75">
      <c r="A1830" s="159" t="s">
        <v>18</v>
      </c>
      <c r="B1830" s="167">
        <f t="shared" si="31"/>
        <v>0</v>
      </c>
      <c r="C1830" s="12"/>
      <c r="D1830" s="12"/>
      <c r="E1830" s="12"/>
      <c r="F1830" s="12"/>
    </row>
    <row r="1831" spans="1:6" ht="12.75">
      <c r="A1831" s="153" t="s">
        <v>23</v>
      </c>
      <c r="B1831" s="167">
        <f t="shared" si="31"/>
        <v>88679.478194</v>
      </c>
      <c r="C1831" s="165">
        <f>5.3352*C1813</f>
        <v>19293.256944</v>
      </c>
      <c r="D1831" s="12">
        <f>6.1735*C1813</f>
        <v>22324.73417</v>
      </c>
      <c r="E1831" s="12">
        <f>6.4099*E1813</f>
        <v>23179.608578</v>
      </c>
      <c r="F1831" s="12">
        <f>6.6041*F1813</f>
        <v>23881.878502</v>
      </c>
    </row>
    <row r="1832" spans="1:6" ht="12.75">
      <c r="A1832" s="153" t="s">
        <v>511</v>
      </c>
      <c r="B1832" s="167">
        <f t="shared" si="31"/>
        <v>17162</v>
      </c>
      <c r="C1832" s="12"/>
      <c r="D1832" s="12"/>
      <c r="E1832" s="12">
        <v>9716</v>
      </c>
      <c r="F1832" s="12">
        <v>7446</v>
      </c>
    </row>
    <row r="1833" spans="1:6" ht="12.75">
      <c r="A1833" s="153" t="s">
        <v>62</v>
      </c>
      <c r="B1833" s="167">
        <f t="shared" si="31"/>
        <v>0</v>
      </c>
      <c r="C1833" s="12"/>
      <c r="D1833" s="12"/>
      <c r="E1833" s="12"/>
      <c r="F1833" s="12"/>
    </row>
    <row r="1834" spans="1:6" ht="12.75">
      <c r="A1834" s="153" t="s">
        <v>30</v>
      </c>
      <c r="B1834" s="167">
        <f t="shared" si="31"/>
        <v>24660</v>
      </c>
      <c r="C1834" s="12">
        <v>305</v>
      </c>
      <c r="D1834" s="12">
        <v>13479</v>
      </c>
      <c r="E1834" s="12">
        <v>7136</v>
      </c>
      <c r="F1834" s="12">
        <v>3740</v>
      </c>
    </row>
    <row r="1835" spans="1:6" ht="12.75">
      <c r="A1835" s="153" t="s">
        <v>28</v>
      </c>
      <c r="B1835" s="167">
        <f t="shared" si="31"/>
        <v>220.5</v>
      </c>
      <c r="C1835" s="12"/>
      <c r="D1835" s="12">
        <v>220.5</v>
      </c>
      <c r="E1835" s="12"/>
      <c r="F1835" s="12"/>
    </row>
    <row r="1836" spans="1:6" ht="12.75">
      <c r="A1836" s="153" t="s">
        <v>41</v>
      </c>
      <c r="B1836" s="167">
        <f t="shared" si="31"/>
        <v>603</v>
      </c>
      <c r="C1836" s="12"/>
      <c r="D1836" s="12"/>
      <c r="E1836" s="12">
        <v>603</v>
      </c>
      <c r="F1836" s="12"/>
    </row>
    <row r="1837" spans="1:6" ht="12.75">
      <c r="A1837" s="153" t="s">
        <v>50</v>
      </c>
      <c r="B1837" s="167">
        <f t="shared" si="31"/>
        <v>4496.5</v>
      </c>
      <c r="C1837" s="12"/>
      <c r="D1837" s="12">
        <v>4496.5</v>
      </c>
      <c r="E1837" s="12"/>
      <c r="F1837" s="12"/>
    </row>
    <row r="1838" spans="1:6" ht="12.75">
      <c r="A1838" s="153" t="s">
        <v>52</v>
      </c>
      <c r="B1838" s="167">
        <f t="shared" si="31"/>
        <v>1660</v>
      </c>
      <c r="C1838" s="12"/>
      <c r="D1838" s="12">
        <v>1660</v>
      </c>
      <c r="E1838" s="12"/>
      <c r="F1838" s="12"/>
    </row>
    <row r="1839" spans="1:6" ht="22.5">
      <c r="A1839" s="153" t="s">
        <v>225</v>
      </c>
      <c r="B1839" s="167">
        <f t="shared" si="31"/>
        <v>518.3</v>
      </c>
      <c r="C1839" s="12">
        <v>518.3</v>
      </c>
      <c r="D1839" s="12"/>
      <c r="E1839" s="12"/>
      <c r="F1839" s="12"/>
    </row>
    <row r="1840" spans="1:6" ht="12.75">
      <c r="A1840" s="153" t="s">
        <v>27</v>
      </c>
      <c r="B1840" s="167">
        <f t="shared" si="31"/>
        <v>372</v>
      </c>
      <c r="C1840" s="12"/>
      <c r="D1840" s="12">
        <v>372</v>
      </c>
      <c r="E1840" s="12"/>
      <c r="F1840" s="12"/>
    </row>
    <row r="1841" spans="1:6" ht="12.75">
      <c r="A1841" s="153" t="s">
        <v>408</v>
      </c>
      <c r="B1841" s="167">
        <f t="shared" si="31"/>
        <v>10600</v>
      </c>
      <c r="C1841" s="12"/>
      <c r="D1841" s="12"/>
      <c r="E1841" s="12">
        <v>10600</v>
      </c>
      <c r="F1841" s="12"/>
    </row>
    <row r="1842" spans="1:6" ht="12.75">
      <c r="A1842" s="153" t="s">
        <v>47</v>
      </c>
      <c r="B1842" s="167">
        <f t="shared" si="31"/>
        <v>0</v>
      </c>
      <c r="C1842" s="12"/>
      <c r="D1842" s="12"/>
      <c r="E1842" s="12"/>
      <c r="F1842" s="12"/>
    </row>
    <row r="1843" spans="1:6" ht="12.75">
      <c r="A1843" s="153" t="s">
        <v>453</v>
      </c>
      <c r="B1843" s="167">
        <f t="shared" si="31"/>
        <v>909</v>
      </c>
      <c r="C1843" s="12"/>
      <c r="D1843" s="12"/>
      <c r="E1843" s="12"/>
      <c r="F1843" s="12">
        <v>909</v>
      </c>
    </row>
    <row r="1844" spans="1:6" ht="12.75">
      <c r="A1844" s="153" t="s">
        <v>143</v>
      </c>
      <c r="B1844" s="167">
        <f t="shared" si="31"/>
        <v>0</v>
      </c>
      <c r="C1844" s="12"/>
      <c r="D1844" s="12"/>
      <c r="E1844" s="12"/>
      <c r="F1844" s="12"/>
    </row>
    <row r="1845" spans="1:6" ht="12.75">
      <c r="A1845" s="153" t="s">
        <v>49</v>
      </c>
      <c r="B1845" s="167">
        <f t="shared" si="31"/>
        <v>3002</v>
      </c>
      <c r="C1845" s="12">
        <v>3002</v>
      </c>
      <c r="D1845" s="12"/>
      <c r="E1845" s="12"/>
      <c r="F1845" s="12"/>
    </row>
    <row r="1846" spans="1:6" ht="12.75">
      <c r="A1846" s="153" t="s">
        <v>497</v>
      </c>
      <c r="B1846" s="167">
        <f t="shared" si="31"/>
        <v>0</v>
      </c>
      <c r="C1846" s="12"/>
      <c r="D1846" s="12"/>
      <c r="E1846" s="12"/>
      <c r="F1846" s="30">
        <v>0</v>
      </c>
    </row>
    <row r="1847" spans="1:6" ht="12.75">
      <c r="A1847" s="153" t="s">
        <v>494</v>
      </c>
      <c r="B1847" s="167">
        <f t="shared" si="31"/>
        <v>0</v>
      </c>
      <c r="C1847" s="12"/>
      <c r="D1847" s="12"/>
      <c r="E1847" s="12"/>
      <c r="F1847" s="30">
        <v>0</v>
      </c>
    </row>
    <row r="1848" spans="1:6" ht="12.75">
      <c r="A1848" s="153" t="s">
        <v>58</v>
      </c>
      <c r="B1848" s="167">
        <f t="shared" si="31"/>
        <v>0</v>
      </c>
      <c r="C1848" s="12"/>
      <c r="D1848" s="12"/>
      <c r="E1848" s="12"/>
      <c r="F1848" s="12"/>
    </row>
    <row r="1849" spans="1:6" ht="12.75">
      <c r="A1849" s="153" t="s">
        <v>138</v>
      </c>
      <c r="B1849" s="167">
        <f t="shared" si="31"/>
        <v>0</v>
      </c>
      <c r="C1849" s="12"/>
      <c r="D1849" s="12"/>
      <c r="E1849" s="12"/>
      <c r="F1849" s="12"/>
    </row>
    <row r="1850" spans="1:6" ht="12.75">
      <c r="A1850" s="155" t="s">
        <v>11</v>
      </c>
      <c r="B1850" s="166">
        <f t="shared" si="31"/>
        <v>152882.77819399998</v>
      </c>
      <c r="C1850" s="157">
        <f>C1831+C1832+C1833+C1834+C1835+C1836+C1837+C1838+C1839+C1840+C1841+C1842+C1843+C1844+C1845+C1846+C1847+C1848+C1849</f>
        <v>23118.556944</v>
      </c>
      <c r="D1850" s="157">
        <f>SUM(D1831:D1849)</f>
        <v>42552.734169999996</v>
      </c>
      <c r="E1850" s="157">
        <f>SUM(E1831:E1849)</f>
        <v>51234.608578</v>
      </c>
      <c r="F1850" s="157">
        <f>SUM(F1831:F1849)</f>
        <v>35976.878502</v>
      </c>
    </row>
    <row r="1851" spans="1:6" ht="12.75">
      <c r="A1851" s="155" t="s">
        <v>19</v>
      </c>
      <c r="B1851" s="167">
        <f t="shared" si="31"/>
        <v>0</v>
      </c>
      <c r="C1851" s="12"/>
      <c r="D1851" s="12"/>
      <c r="E1851" s="12"/>
      <c r="F1851" s="12"/>
    </row>
    <row r="1852" spans="1:6" ht="12.75">
      <c r="A1852" s="153" t="s">
        <v>38</v>
      </c>
      <c r="B1852" s="167">
        <f t="shared" si="31"/>
        <v>3039.9138672599997</v>
      </c>
      <c r="C1852" s="12">
        <f>0.218666*C1813</f>
        <v>790.74436252</v>
      </c>
      <c r="D1852" s="12">
        <f>0.210458*C1813</f>
        <v>761.06242876</v>
      </c>
      <c r="E1852" s="12">
        <f>0.167241*E1813</f>
        <v>604.7802490199999</v>
      </c>
      <c r="F1852" s="12">
        <f>0.244268*F1813</f>
        <v>883.32682696</v>
      </c>
    </row>
    <row r="1853" spans="1:6" ht="12.75">
      <c r="A1853" s="153" t="s">
        <v>39</v>
      </c>
      <c r="B1853" s="167">
        <f t="shared" si="31"/>
        <v>6027.945826179999</v>
      </c>
      <c r="C1853" s="12">
        <f>0.306583*C1813</f>
        <v>1108.67157626</v>
      </c>
      <c r="D1853" s="12">
        <f>0.0733554*C1813</f>
        <v>265.269264588</v>
      </c>
      <c r="E1853" s="12">
        <f>0.536065*E1813</f>
        <v>1938.5289742999998</v>
      </c>
      <c r="F1853" s="12">
        <f>0.7509156*F1813</f>
        <v>2715.476011032</v>
      </c>
    </row>
    <row r="1854" spans="1:6" ht="12.75">
      <c r="A1854" s="153" t="s">
        <v>32</v>
      </c>
      <c r="B1854" s="167">
        <f t="shared" si="31"/>
        <v>0</v>
      </c>
      <c r="C1854" s="12"/>
      <c r="D1854" s="12"/>
      <c r="E1854" s="12"/>
      <c r="F1854" s="12"/>
    </row>
    <row r="1855" spans="1:6" ht="12.75">
      <c r="A1855" s="153" t="s">
        <v>37</v>
      </c>
      <c r="B1855" s="167">
        <f t="shared" si="31"/>
        <v>7787.727938856</v>
      </c>
      <c r="C1855" s="12">
        <f>0.70476*C1813</f>
        <v>2548.5672072</v>
      </c>
      <c r="D1855" s="12">
        <f>0.3731258*C1813</f>
        <v>1349.3049804759999</v>
      </c>
      <c r="E1855" s="12">
        <f>0.553205*E1813</f>
        <v>2000.5109850999997</v>
      </c>
      <c r="F1855" s="12">
        <f>0.522464*F1813</f>
        <v>1889.34476608</v>
      </c>
    </row>
    <row r="1856" spans="1:6" ht="12.75">
      <c r="A1856" s="153" t="s">
        <v>20</v>
      </c>
      <c r="B1856" s="167">
        <f t="shared" si="31"/>
        <v>2879.6972401599996</v>
      </c>
      <c r="C1856" s="12"/>
      <c r="D1856" s="12">
        <f>0.158142*C1813</f>
        <v>571.87626324</v>
      </c>
      <c r="E1856" s="12">
        <f>0.60489*E1813</f>
        <v>2187.4153158</v>
      </c>
      <c r="F1856" s="12">
        <f>0.033296*F1813</f>
        <v>120.40566111999999</v>
      </c>
    </row>
    <row r="1857" spans="1:6" ht="12.75">
      <c r="A1857" s="156" t="s">
        <v>11</v>
      </c>
      <c r="B1857" s="166">
        <f t="shared" si="31"/>
        <v>19735.284872456</v>
      </c>
      <c r="C1857" s="157">
        <f>C1852+C1853+C1854+C1855+C1856</f>
        <v>4447.983145980001</v>
      </c>
      <c r="D1857" s="157">
        <f>SUM(D1852:D1856)</f>
        <v>2947.5129370639997</v>
      </c>
      <c r="E1857" s="157">
        <f>SUM(E1852:E1856)</f>
        <v>6731.235524219999</v>
      </c>
      <c r="F1857" s="157">
        <f>SUM(F1852:F1856)</f>
        <v>5608.553265192</v>
      </c>
    </row>
    <row r="1858" spans="1:6" ht="12.75">
      <c r="A1858" s="153" t="s">
        <v>101</v>
      </c>
      <c r="B1858" s="167">
        <f t="shared" si="31"/>
        <v>2359.37514592</v>
      </c>
      <c r="C1858" s="157">
        <f>0.0644*C1813</f>
        <v>232.88456799999997</v>
      </c>
      <c r="D1858" s="12">
        <v>200</v>
      </c>
      <c r="E1858" s="12">
        <f>0.10264*E1813</f>
        <v>371.16882079999993</v>
      </c>
      <c r="F1858" s="12">
        <f>0.430096*F1813</f>
        <v>1555.3217571199998</v>
      </c>
    </row>
    <row r="1859" spans="1:6" ht="33.75">
      <c r="A1859" s="161" t="s">
        <v>21</v>
      </c>
      <c r="B1859" s="166">
        <f t="shared" si="31"/>
        <v>421747.59622875595</v>
      </c>
      <c r="C1859" s="157">
        <f>C1829+C1850+C1857+C1858</f>
        <v>86233.24069198</v>
      </c>
      <c r="D1859" s="157">
        <f>D1829+D1850+D1857+D1858</f>
        <v>105277.168147064</v>
      </c>
      <c r="E1859" s="157">
        <f>E1829+E1850+E1857</f>
        <v>127425.42727422</v>
      </c>
      <c r="F1859" s="157">
        <f>F1829+F1850+F1857+F1858</f>
        <v>102811.76011549198</v>
      </c>
    </row>
    <row r="1860" spans="1:6" ht="45">
      <c r="A1860" s="161" t="s">
        <v>22</v>
      </c>
      <c r="B1860" s="162">
        <f>B1859/12/C1813</f>
        <v>9.71888685396989</v>
      </c>
      <c r="C1860" s="14">
        <f>C1859/C1813/3</f>
        <v>7.948745807498806</v>
      </c>
      <c r="D1860" s="14">
        <f>D1859/3/C1813</f>
        <v>9.704163292707488</v>
      </c>
      <c r="E1860" s="14">
        <f>E1859/3/C1813</f>
        <v>11.745729636122803</v>
      </c>
      <c r="F1860" s="14">
        <f>F1859/3/C1813</f>
        <v>9.47690867955047</v>
      </c>
    </row>
    <row r="1861" spans="1:6" ht="12.75">
      <c r="A1861" s="163" t="s">
        <v>34</v>
      </c>
      <c r="B1861" s="154">
        <f>B1817-B1859</f>
        <v>8867.003771244024</v>
      </c>
      <c r="C1861" s="165">
        <f>C1817-C1859</f>
        <v>20567.81930802</v>
      </c>
      <c r="D1861" s="12">
        <f>D1817-D1859+C1861</f>
        <v>20660.781160956</v>
      </c>
      <c r="E1861" s="12">
        <f>E1817-E1859+D1861</f>
        <v>8725.653886736007</v>
      </c>
      <c r="F1861" s="12">
        <f>F1817-F1859+E1861</f>
        <v>8867.003771244024</v>
      </c>
    </row>
    <row r="1862" spans="1:6" ht="12.75">
      <c r="A1862" s="29" t="s">
        <v>44</v>
      </c>
      <c r="B1862" s="29"/>
      <c r="C1862" s="29"/>
      <c r="D1862" s="29"/>
      <c r="E1862" s="29"/>
      <c r="F1862" s="29"/>
    </row>
    <row r="1863" spans="1:6" ht="12.75">
      <c r="A1863" s="29" t="s">
        <v>45</v>
      </c>
      <c r="B1863" s="29"/>
      <c r="C1863" s="29"/>
      <c r="D1863" s="29"/>
      <c r="E1863" s="29"/>
      <c r="F1863" s="29"/>
    </row>
    <row r="1864" spans="1:6" ht="12.75">
      <c r="A1864" s="29" t="s">
        <v>579</v>
      </c>
      <c r="B1864" s="29"/>
      <c r="C1864" s="29"/>
      <c r="D1864" s="29"/>
      <c r="E1864" s="29"/>
      <c r="F1864" s="29"/>
    </row>
    <row r="1865" spans="1:6" ht="12.75">
      <c r="A1865" s="29"/>
      <c r="B1865" s="29"/>
      <c r="C1865" s="29"/>
      <c r="D1865" s="29"/>
      <c r="E1865" s="29"/>
      <c r="F1865" s="29"/>
    </row>
    <row r="1866" spans="1:6" ht="307.5" customHeight="1">
      <c r="A1866" s="29"/>
      <c r="B1866" s="29"/>
      <c r="C1866" s="29"/>
      <c r="D1866" s="29"/>
      <c r="E1866" s="29"/>
      <c r="F1866" s="29"/>
    </row>
    <row r="1867" spans="1:6" ht="12.75">
      <c r="A1867" s="120" t="s">
        <v>35</v>
      </c>
      <c r="B1867" s="120"/>
      <c r="C1867" s="29"/>
      <c r="D1867" s="29"/>
      <c r="E1867" s="29"/>
      <c r="F1867" s="29"/>
    </row>
    <row r="1868" spans="1:6" ht="12.75">
      <c r="A1868" s="29" t="s">
        <v>616</v>
      </c>
      <c r="B1868" s="29"/>
      <c r="C1868" s="29"/>
      <c r="D1868" s="29"/>
      <c r="E1868" s="29"/>
      <c r="F1868" s="29"/>
    </row>
    <row r="1869" spans="1:6" ht="12.75">
      <c r="A1869" s="29" t="s">
        <v>224</v>
      </c>
      <c r="B1869" s="29"/>
      <c r="C1869" s="29"/>
      <c r="D1869" s="29"/>
      <c r="E1869" s="29"/>
      <c r="F1869" s="29"/>
    </row>
    <row r="1870" spans="1:6" ht="12.75">
      <c r="A1870" s="29" t="s">
        <v>613</v>
      </c>
      <c r="B1870" s="29"/>
      <c r="C1870" s="29"/>
      <c r="D1870" s="29"/>
      <c r="E1870" s="29" t="s">
        <v>340</v>
      </c>
      <c r="F1870" s="29"/>
    </row>
    <row r="1871" spans="1:6" ht="12.75">
      <c r="A1871" s="10" t="s">
        <v>1</v>
      </c>
      <c r="B1871" s="10" t="s">
        <v>11</v>
      </c>
      <c r="C1871" s="10" t="s">
        <v>86</v>
      </c>
      <c r="D1871" s="10" t="s">
        <v>87</v>
      </c>
      <c r="E1871" s="10" t="s">
        <v>120</v>
      </c>
      <c r="F1871" s="10" t="s">
        <v>141</v>
      </c>
    </row>
    <row r="1872" spans="1:6" ht="12.75">
      <c r="A1872" s="22" t="s">
        <v>6</v>
      </c>
      <c r="B1872" s="22"/>
      <c r="C1872" s="10"/>
      <c r="D1872" s="5"/>
      <c r="E1872" s="5"/>
      <c r="F1872" s="5"/>
    </row>
    <row r="1873" spans="1:6" ht="12.75">
      <c r="A1873" s="5" t="s">
        <v>2</v>
      </c>
      <c r="B1873" s="5"/>
      <c r="C1873" s="10">
        <v>5</v>
      </c>
      <c r="D1873" s="5"/>
      <c r="E1873" s="5"/>
      <c r="F1873" s="5"/>
    </row>
    <row r="1874" spans="1:6" ht="12.75">
      <c r="A1874" s="5" t="s">
        <v>3</v>
      </c>
      <c r="B1874" s="5"/>
      <c r="C1874" s="10">
        <v>6</v>
      </c>
      <c r="D1874" s="5"/>
      <c r="E1874" s="5"/>
      <c r="F1874" s="5"/>
    </row>
    <row r="1875" spans="1:6" ht="12.75">
      <c r="A1875" s="5" t="s">
        <v>4</v>
      </c>
      <c r="B1875" s="5"/>
      <c r="C1875" s="10">
        <v>60</v>
      </c>
      <c r="D1875" s="5"/>
      <c r="E1875" s="5"/>
      <c r="F1875" s="5"/>
    </row>
    <row r="1876" spans="1:6" ht="12.75">
      <c r="A1876" s="5" t="s">
        <v>5</v>
      </c>
      <c r="B1876" s="10">
        <v>3641.89</v>
      </c>
      <c r="C1876" s="10">
        <v>3641.89</v>
      </c>
      <c r="D1876" s="10">
        <v>3641.89</v>
      </c>
      <c r="E1876" s="10">
        <v>3641.89</v>
      </c>
      <c r="F1876" s="10">
        <v>3641.89</v>
      </c>
    </row>
    <row r="1877" spans="1:6" ht="22.5">
      <c r="A1877" s="150" t="s">
        <v>7</v>
      </c>
      <c r="B1877" s="150"/>
      <c r="C1877" s="5" t="s">
        <v>36</v>
      </c>
      <c r="D1877" s="5"/>
      <c r="E1877" s="5"/>
      <c r="F1877" s="5"/>
    </row>
    <row r="1878" spans="1:6" ht="22.5">
      <c r="A1878" s="151" t="s">
        <v>8</v>
      </c>
      <c r="B1878" s="6">
        <f>C1878+D1878+E1878+F1878</f>
        <v>414749.37</v>
      </c>
      <c r="C1878" s="10">
        <v>86699.97</v>
      </c>
      <c r="D1878" s="10">
        <v>107034.45</v>
      </c>
      <c r="E1878" s="5">
        <v>110167.55</v>
      </c>
      <c r="F1878" s="10">
        <v>110847.4</v>
      </c>
    </row>
    <row r="1879" spans="1:6" ht="22.5">
      <c r="A1879" s="153" t="s">
        <v>9</v>
      </c>
      <c r="B1879" s="6">
        <f>C1879+D1879+E1879+F1879</f>
        <v>0</v>
      </c>
      <c r="C1879" s="10">
        <v>0</v>
      </c>
      <c r="D1879" s="10">
        <v>0</v>
      </c>
      <c r="E1879" s="5">
        <v>0</v>
      </c>
      <c r="F1879" s="10">
        <v>0</v>
      </c>
    </row>
    <row r="1880" spans="1:6" ht="12.75">
      <c r="A1880" s="5" t="s">
        <v>11</v>
      </c>
      <c r="B1880" s="150">
        <f>C1880+D1880+E1880+F1880</f>
        <v>414749.37</v>
      </c>
      <c r="C1880" s="22">
        <f>C1878+C1879</f>
        <v>86699.97</v>
      </c>
      <c r="D1880" s="155">
        <f>SUM(D1878:D1879)</f>
        <v>107034.45</v>
      </c>
      <c r="E1880" s="155">
        <f>SUM(E1878:E1879)</f>
        <v>110167.55</v>
      </c>
      <c r="F1880" s="22">
        <f>SUM(F1878:F1879)</f>
        <v>110847.4</v>
      </c>
    </row>
    <row r="1881" spans="1:6" ht="22.5">
      <c r="A1881" s="150" t="s">
        <v>12</v>
      </c>
      <c r="B1881" s="150"/>
      <c r="C1881" s="5"/>
      <c r="D1881" s="5"/>
      <c r="E1881" s="5"/>
      <c r="F1881" s="5"/>
    </row>
    <row r="1882" spans="1:7" ht="12.75">
      <c r="A1882" s="156" t="s">
        <v>13</v>
      </c>
      <c r="B1882" s="166">
        <f>C1882+D1882+E1882+F1882</f>
        <v>114999.84763141</v>
      </c>
      <c r="C1882" s="157">
        <f>7.5947*C1876</f>
        <v>27659.061982999996</v>
      </c>
      <c r="D1882" s="157">
        <f>7.632*C1876</f>
        <v>27794.904479999997</v>
      </c>
      <c r="E1882" s="12">
        <f>8.5526*E1876</f>
        <v>31147.628414</v>
      </c>
      <c r="F1882" s="157">
        <f>7.797669*F1876</f>
        <v>28398.252754409998</v>
      </c>
      <c r="G1882" s="8"/>
    </row>
    <row r="1883" spans="1:6" ht="21.75">
      <c r="A1883" s="156" t="s">
        <v>14</v>
      </c>
      <c r="B1883" s="167">
        <f aca="true" t="shared" si="32" ref="B1883:B1923">C1883+D1883+E1883+F1883</f>
        <v>0</v>
      </c>
      <c r="C1883" s="12"/>
      <c r="D1883" s="12"/>
      <c r="E1883" s="12"/>
      <c r="F1883" s="12"/>
    </row>
    <row r="1884" spans="1:6" ht="12.75">
      <c r="A1884" s="153" t="s">
        <v>15</v>
      </c>
      <c r="B1884" s="167">
        <f t="shared" si="32"/>
        <v>136175.15</v>
      </c>
      <c r="C1884" s="12">
        <f>C1885+C1887</f>
        <v>30876.22</v>
      </c>
      <c r="D1884" s="12">
        <f>D1885+D1887+D1888+D1889+D1890+D1891</f>
        <v>32291.08</v>
      </c>
      <c r="E1884" s="12">
        <f>E1885+E1887+E1888+E1889+E1890+E1891+E1892</f>
        <v>40674.85</v>
      </c>
      <c r="F1884" s="12">
        <f>F1885+F1887+F1888+F1889+F1890+F1891+F1892</f>
        <v>32333</v>
      </c>
    </row>
    <row r="1885" spans="1:6" ht="12.75">
      <c r="A1885" s="158" t="s">
        <v>16</v>
      </c>
      <c r="B1885" s="167">
        <f t="shared" si="32"/>
        <v>126160</v>
      </c>
      <c r="C1885" s="165">
        <v>30667</v>
      </c>
      <c r="D1885" s="12">
        <v>28867</v>
      </c>
      <c r="E1885" s="12">
        <v>35011</v>
      </c>
      <c r="F1885" s="12">
        <v>31615</v>
      </c>
    </row>
    <row r="1886" spans="1:6" ht="12.75">
      <c r="A1886" s="153" t="s">
        <v>33</v>
      </c>
      <c r="B1886" s="167">
        <f t="shared" si="32"/>
        <v>83533.48</v>
      </c>
      <c r="C1886" s="165">
        <v>18709.48</v>
      </c>
      <c r="D1886" s="12">
        <v>19952</v>
      </c>
      <c r="E1886" s="12">
        <v>22436</v>
      </c>
      <c r="F1886" s="12">
        <v>22436</v>
      </c>
    </row>
    <row r="1887" spans="1:6" ht="12.75">
      <c r="A1887" s="153" t="s">
        <v>24</v>
      </c>
      <c r="B1887" s="167">
        <f t="shared" si="32"/>
        <v>2099.75</v>
      </c>
      <c r="C1887" s="12">
        <v>209.22</v>
      </c>
      <c r="D1887" s="12">
        <v>502.68</v>
      </c>
      <c r="E1887" s="12">
        <v>669.85</v>
      </c>
      <c r="F1887" s="12">
        <v>718</v>
      </c>
    </row>
    <row r="1888" spans="1:6" ht="12.75">
      <c r="A1888" s="153" t="s">
        <v>17</v>
      </c>
      <c r="B1888" s="167">
        <f t="shared" si="32"/>
        <v>0</v>
      </c>
      <c r="C1888" s="12"/>
      <c r="D1888" s="12"/>
      <c r="E1888" s="12"/>
      <c r="F1888" s="12"/>
    </row>
    <row r="1889" spans="1:6" ht="12.75">
      <c r="A1889" s="153" t="s">
        <v>128</v>
      </c>
      <c r="B1889" s="167">
        <f t="shared" si="32"/>
        <v>1397</v>
      </c>
      <c r="C1889" s="12"/>
      <c r="D1889" s="12"/>
      <c r="E1889" s="12">
        <v>1397</v>
      </c>
      <c r="F1889" s="12"/>
    </row>
    <row r="1890" spans="1:6" ht="12.75">
      <c r="A1890" s="153" t="s">
        <v>65</v>
      </c>
      <c r="B1890" s="167">
        <f t="shared" si="32"/>
        <v>559.9</v>
      </c>
      <c r="C1890" s="12"/>
      <c r="D1890" s="12">
        <v>297.4</v>
      </c>
      <c r="E1890" s="12">
        <v>262.5</v>
      </c>
      <c r="F1890" s="12"/>
    </row>
    <row r="1891" spans="1:6" ht="12.75">
      <c r="A1891" s="153" t="s">
        <v>412</v>
      </c>
      <c r="B1891" s="167">
        <f t="shared" si="32"/>
        <v>5813</v>
      </c>
      <c r="C1891" s="12"/>
      <c r="D1891" s="12">
        <v>2624</v>
      </c>
      <c r="E1891" s="12">
        <v>3189</v>
      </c>
      <c r="F1891" s="12"/>
    </row>
    <row r="1892" spans="1:6" ht="12.75">
      <c r="A1892" s="153" t="s">
        <v>413</v>
      </c>
      <c r="B1892" s="167">
        <f t="shared" si="32"/>
        <v>145.5</v>
      </c>
      <c r="C1892" s="12"/>
      <c r="D1892" s="12"/>
      <c r="E1892" s="12">
        <v>145.5</v>
      </c>
      <c r="F1892" s="12"/>
    </row>
    <row r="1893" spans="1:6" ht="12.75">
      <c r="A1893" s="155" t="s">
        <v>11</v>
      </c>
      <c r="B1893" s="166">
        <f t="shared" si="32"/>
        <v>251174.99763141</v>
      </c>
      <c r="C1893" s="157">
        <f>C1882+C1884</f>
        <v>58535.28198299999</v>
      </c>
      <c r="D1893" s="157">
        <f>D1882+D1884</f>
        <v>60085.98448</v>
      </c>
      <c r="E1893" s="157">
        <f>E1882+E1884</f>
        <v>71822.478414</v>
      </c>
      <c r="F1893" s="157">
        <f>F1882+F1884</f>
        <v>60731.25275441</v>
      </c>
    </row>
    <row r="1894" spans="1:6" ht="21.75">
      <c r="A1894" s="159" t="s">
        <v>18</v>
      </c>
      <c r="B1894" s="167">
        <f t="shared" si="32"/>
        <v>0</v>
      </c>
      <c r="C1894" s="12"/>
      <c r="D1894" s="12"/>
      <c r="E1894" s="12"/>
      <c r="F1894" s="12"/>
    </row>
    <row r="1895" spans="1:6" ht="12.75">
      <c r="A1895" s="153" t="s">
        <v>23</v>
      </c>
      <c r="B1895" s="167">
        <f t="shared" si="32"/>
        <v>89308.975903</v>
      </c>
      <c r="C1895" s="165">
        <f>5.3352*C1876</f>
        <v>19430.211528</v>
      </c>
      <c r="D1895" s="12">
        <f>6.1735*C1876</f>
        <v>22483.207915</v>
      </c>
      <c r="E1895" s="12">
        <f>6.4099*E1876</f>
        <v>23344.150711000002</v>
      </c>
      <c r="F1895" s="12">
        <f>6.6041*F1876</f>
        <v>24051.405748999998</v>
      </c>
    </row>
    <row r="1896" spans="1:6" ht="12.75">
      <c r="A1896" s="153" t="s">
        <v>285</v>
      </c>
      <c r="B1896" s="167">
        <f t="shared" si="32"/>
        <v>10821</v>
      </c>
      <c r="C1896" s="12"/>
      <c r="D1896" s="12">
        <v>10821</v>
      </c>
      <c r="E1896" s="12"/>
      <c r="F1896" s="12"/>
    </row>
    <row r="1897" spans="1:6" ht="12.75">
      <c r="A1897" s="153" t="s">
        <v>453</v>
      </c>
      <c r="B1897" s="167">
        <f t="shared" si="32"/>
        <v>915</v>
      </c>
      <c r="C1897" s="12"/>
      <c r="D1897" s="12"/>
      <c r="E1897" s="12"/>
      <c r="F1897" s="12">
        <v>915</v>
      </c>
    </row>
    <row r="1898" spans="1:6" ht="12.75">
      <c r="A1898" s="153" t="s">
        <v>30</v>
      </c>
      <c r="B1898" s="167">
        <f t="shared" si="32"/>
        <v>35413</v>
      </c>
      <c r="C1898" s="12">
        <v>6921</v>
      </c>
      <c r="D1898" s="12">
        <v>18245</v>
      </c>
      <c r="E1898" s="12">
        <v>7644</v>
      </c>
      <c r="F1898" s="12">
        <v>2603</v>
      </c>
    </row>
    <row r="1899" spans="1:6" ht="12.75">
      <c r="A1899" s="153" t="s">
        <v>28</v>
      </c>
      <c r="B1899" s="167">
        <f t="shared" si="32"/>
        <v>1914.5</v>
      </c>
      <c r="C1899" s="12"/>
      <c r="D1899" s="12">
        <v>177</v>
      </c>
      <c r="E1899" s="12">
        <v>877.5</v>
      </c>
      <c r="F1899" s="12">
        <v>860</v>
      </c>
    </row>
    <row r="1900" spans="1:6" ht="12.75">
      <c r="A1900" s="153" t="s">
        <v>41</v>
      </c>
      <c r="B1900" s="167">
        <f t="shared" si="32"/>
        <v>5208</v>
      </c>
      <c r="C1900" s="12">
        <v>488</v>
      </c>
      <c r="D1900" s="12">
        <v>2948</v>
      </c>
      <c r="E1900" s="12">
        <v>1772</v>
      </c>
      <c r="F1900" s="12"/>
    </row>
    <row r="1901" spans="1:6" ht="12.75">
      <c r="A1901" s="153" t="s">
        <v>50</v>
      </c>
      <c r="B1901" s="167">
        <f t="shared" si="32"/>
        <v>8397</v>
      </c>
      <c r="C1901" s="12"/>
      <c r="D1901" s="12">
        <v>6136</v>
      </c>
      <c r="E1901" s="12">
        <v>2261</v>
      </c>
      <c r="F1901" s="12"/>
    </row>
    <row r="1902" spans="1:6" ht="12.75">
      <c r="A1902" s="153" t="s">
        <v>52</v>
      </c>
      <c r="B1902" s="167">
        <f t="shared" si="32"/>
        <v>3380</v>
      </c>
      <c r="C1902" s="12">
        <v>3380</v>
      </c>
      <c r="D1902" s="12"/>
      <c r="E1902" s="12"/>
      <c r="F1902" s="12"/>
    </row>
    <row r="1903" spans="1:6" ht="22.5">
      <c r="A1903" s="153" t="s">
        <v>225</v>
      </c>
      <c r="B1903" s="167">
        <f t="shared" si="32"/>
        <v>700</v>
      </c>
      <c r="C1903" s="12">
        <v>700</v>
      </c>
      <c r="D1903" s="12"/>
      <c r="E1903" s="12"/>
      <c r="F1903" s="12"/>
    </row>
    <row r="1904" spans="1:6" ht="12.75">
      <c r="A1904" s="153" t="s">
        <v>27</v>
      </c>
      <c r="B1904" s="167">
        <f t="shared" si="32"/>
        <v>262</v>
      </c>
      <c r="C1904" s="12"/>
      <c r="D1904" s="12">
        <v>262</v>
      </c>
      <c r="E1904" s="12"/>
      <c r="F1904" s="12"/>
    </row>
    <row r="1905" spans="1:6" ht="12.75">
      <c r="A1905" s="153" t="s">
        <v>283</v>
      </c>
      <c r="B1905" s="167">
        <f t="shared" si="32"/>
        <v>3864</v>
      </c>
      <c r="C1905" s="12"/>
      <c r="D1905" s="12">
        <v>3864</v>
      </c>
      <c r="E1905" s="12"/>
      <c r="F1905" s="12"/>
    </row>
    <row r="1906" spans="1:6" ht="12.75">
      <c r="A1906" s="153" t="s">
        <v>47</v>
      </c>
      <c r="B1906" s="167">
        <f t="shared" si="32"/>
        <v>0</v>
      </c>
      <c r="C1906" s="12"/>
      <c r="D1906" s="12"/>
      <c r="E1906" s="12"/>
      <c r="F1906" s="12"/>
    </row>
    <row r="1907" spans="1:6" ht="12.75">
      <c r="A1907" s="153" t="s">
        <v>410</v>
      </c>
      <c r="B1907" s="167">
        <f t="shared" si="32"/>
        <v>10847</v>
      </c>
      <c r="C1907" s="12"/>
      <c r="D1907" s="12"/>
      <c r="E1907" s="12">
        <v>4147</v>
      </c>
      <c r="F1907" s="12">
        <v>6700</v>
      </c>
    </row>
    <row r="1908" spans="1:6" ht="12.75">
      <c r="A1908" s="153" t="s">
        <v>512</v>
      </c>
      <c r="B1908" s="167">
        <f t="shared" si="32"/>
        <v>28816</v>
      </c>
      <c r="C1908" s="12"/>
      <c r="D1908" s="12"/>
      <c r="E1908" s="12">
        <v>7389</v>
      </c>
      <c r="F1908" s="12">
        <v>21427</v>
      </c>
    </row>
    <row r="1909" spans="1:6" ht="12.75">
      <c r="A1909" s="153" t="s">
        <v>513</v>
      </c>
      <c r="B1909" s="167">
        <f t="shared" si="32"/>
        <v>49600</v>
      </c>
      <c r="C1909" s="12"/>
      <c r="D1909" s="12"/>
      <c r="E1909" s="12">
        <v>33800</v>
      </c>
      <c r="F1909" s="12">
        <v>15800</v>
      </c>
    </row>
    <row r="1910" spans="1:6" ht="12.75">
      <c r="A1910" s="153" t="s">
        <v>251</v>
      </c>
      <c r="B1910" s="167">
        <f t="shared" si="32"/>
        <v>1760</v>
      </c>
      <c r="C1910" s="12"/>
      <c r="D1910" s="12">
        <v>1760</v>
      </c>
      <c r="E1910" s="12"/>
      <c r="F1910" s="12"/>
    </row>
    <row r="1911" spans="1:6" ht="12.75">
      <c r="A1911" s="153" t="s">
        <v>414</v>
      </c>
      <c r="B1911" s="167">
        <f t="shared" si="32"/>
        <v>1731</v>
      </c>
      <c r="C1911" s="12"/>
      <c r="D1911" s="12"/>
      <c r="E1911" s="12">
        <v>1731</v>
      </c>
      <c r="F1911" s="12"/>
    </row>
    <row r="1912" spans="1:6" ht="12.75">
      <c r="A1912" s="153" t="s">
        <v>409</v>
      </c>
      <c r="B1912" s="167">
        <f t="shared" si="32"/>
        <v>108211</v>
      </c>
      <c r="C1912" s="12"/>
      <c r="D1912" s="12"/>
      <c r="E1912" s="30">
        <v>108211</v>
      </c>
      <c r="F1912" s="12"/>
    </row>
    <row r="1913" spans="1:6" ht="12.75">
      <c r="A1913" s="153" t="s">
        <v>284</v>
      </c>
      <c r="B1913" s="167">
        <f t="shared" si="32"/>
        <v>50657</v>
      </c>
      <c r="C1913" s="12"/>
      <c r="D1913" s="12">
        <v>31307</v>
      </c>
      <c r="E1913" s="12"/>
      <c r="F1913" s="12">
        <v>19350</v>
      </c>
    </row>
    <row r="1914" spans="1:6" ht="12.75">
      <c r="A1914" s="155" t="s">
        <v>11</v>
      </c>
      <c r="B1914" s="166">
        <f t="shared" si="32"/>
        <v>411805.475903</v>
      </c>
      <c r="C1914" s="157">
        <f>C1895+C1896+C1897+C1898+C1899+C1900+C1901+C1902+C1903+C1904+C1905+C1906+C1907+C1908+C1909+C1910+C1911+C1912+C1913</f>
        <v>30919.211528</v>
      </c>
      <c r="D1914" s="157">
        <f>SUM(D1895:D1913)</f>
        <v>98003.207915</v>
      </c>
      <c r="E1914" s="157">
        <f>SUM(E1895:E1913)</f>
        <v>191176.650711</v>
      </c>
      <c r="F1914" s="157">
        <f>SUM(F1895:F1913)</f>
        <v>91706.405749</v>
      </c>
    </row>
    <row r="1915" spans="1:6" ht="12.75">
      <c r="A1915" s="155" t="s">
        <v>19</v>
      </c>
      <c r="B1915" s="167">
        <f t="shared" si="32"/>
        <v>0</v>
      </c>
      <c r="C1915" s="12"/>
      <c r="D1915" s="12"/>
      <c r="E1915" s="12"/>
      <c r="F1915" s="12"/>
    </row>
    <row r="1916" spans="1:6" ht="12.75">
      <c r="A1916" s="153" t="s">
        <v>38</v>
      </c>
      <c r="B1916" s="167">
        <f t="shared" si="32"/>
        <v>3061.49291637</v>
      </c>
      <c r="C1916" s="12">
        <f>0.218666*C1876</f>
        <v>796.3575187399999</v>
      </c>
      <c r="D1916" s="12">
        <f>0.210458*C1876</f>
        <v>766.46488562</v>
      </c>
      <c r="E1916" s="12">
        <f>0.167241*E1876</f>
        <v>609.07332549</v>
      </c>
      <c r="F1916" s="12">
        <f>0.244268*F1876</f>
        <v>889.59718652</v>
      </c>
    </row>
    <row r="1917" spans="1:6" ht="12.75">
      <c r="A1917" s="153" t="s">
        <v>39</v>
      </c>
      <c r="B1917" s="167">
        <f t="shared" si="32"/>
        <v>6070.73563691</v>
      </c>
      <c r="C1917" s="12">
        <f>0.306583*C1876</f>
        <v>1116.54156187</v>
      </c>
      <c r="D1917" s="12">
        <f>0.0733554*C1876</f>
        <v>267.152297706</v>
      </c>
      <c r="E1917" s="12">
        <f>0.536065*E1876</f>
        <v>1952.28976285</v>
      </c>
      <c r="F1917" s="12">
        <f>0.7509156*F1876</f>
        <v>2734.752014484</v>
      </c>
    </row>
    <row r="1918" spans="1:6" ht="12.75">
      <c r="A1918" s="153" t="s">
        <v>32</v>
      </c>
      <c r="B1918" s="167">
        <f t="shared" si="32"/>
        <v>0</v>
      </c>
      <c r="C1918" s="12"/>
      <c r="D1918" s="12"/>
      <c r="E1918" s="12"/>
      <c r="F1918" s="12"/>
    </row>
    <row r="1919" spans="1:6" ht="12.75">
      <c r="A1919" s="153" t="s">
        <v>37</v>
      </c>
      <c r="B1919" s="167">
        <f t="shared" si="32"/>
        <v>7843.009690572</v>
      </c>
      <c r="C1919" s="12">
        <f>0.70476*C1876</f>
        <v>2566.6583964</v>
      </c>
      <c r="D1919" s="12">
        <f>0.3731258*C1876</f>
        <v>1358.883119762</v>
      </c>
      <c r="E1919" s="12">
        <f>0.553205*E1876</f>
        <v>2014.7117574499998</v>
      </c>
      <c r="F1919" s="12">
        <f>0.522464*F1876</f>
        <v>1902.75641696</v>
      </c>
    </row>
    <row r="1920" spans="1:6" ht="12.75">
      <c r="A1920" s="153" t="s">
        <v>20</v>
      </c>
      <c r="B1920" s="167">
        <f t="shared" si="32"/>
        <v>2900.13897992</v>
      </c>
      <c r="C1920" s="12"/>
      <c r="D1920" s="12">
        <f>0.158142*C1876</f>
        <v>575.93576838</v>
      </c>
      <c r="E1920" s="12">
        <f>0.60489*E1876</f>
        <v>2202.9428421000002</v>
      </c>
      <c r="F1920" s="12">
        <f>0.033296*F1876</f>
        <v>121.26036943999999</v>
      </c>
    </row>
    <row r="1921" spans="1:6" ht="12.75">
      <c r="A1921" s="156" t="s">
        <v>11</v>
      </c>
      <c r="B1921" s="166">
        <f t="shared" si="32"/>
        <v>19875.377223772</v>
      </c>
      <c r="C1921" s="157">
        <f>C1916+C1917+C1918+C1919+C1920</f>
        <v>4479.55747701</v>
      </c>
      <c r="D1921" s="157">
        <f>SUM(D1916:D1920)</f>
        <v>2968.4360714679997</v>
      </c>
      <c r="E1921" s="157">
        <f>SUM(E1916:E1920)</f>
        <v>6779.01768789</v>
      </c>
      <c r="F1921" s="157">
        <f>SUM(F1916:F1920)</f>
        <v>5648.365987404</v>
      </c>
    </row>
    <row r="1922" spans="1:6" ht="12.75">
      <c r="A1922" s="153" t="s">
        <v>101</v>
      </c>
      <c r="B1922" s="167">
        <f t="shared" si="32"/>
        <v>2376.70362704</v>
      </c>
      <c r="C1922" s="157">
        <f>0.0644*C1876</f>
        <v>234.537716</v>
      </c>
      <c r="D1922" s="157">
        <v>202</v>
      </c>
      <c r="E1922" s="12">
        <f>0.10264*E1876</f>
        <v>373.80358959999995</v>
      </c>
      <c r="F1922" s="12">
        <f>0.430096*F1876</f>
        <v>1566.36232144</v>
      </c>
    </row>
    <row r="1923" spans="1:6" ht="33.75">
      <c r="A1923" s="161" t="s">
        <v>21</v>
      </c>
      <c r="B1923" s="166">
        <f t="shared" si="32"/>
        <v>684858.750795622</v>
      </c>
      <c r="C1923" s="157">
        <f>C1893+C1914+C1921+C1922</f>
        <v>94168.58870401</v>
      </c>
      <c r="D1923" s="157">
        <f>D1893+D1914+D1921+D1922</f>
        <v>161259.628466468</v>
      </c>
      <c r="E1923" s="157">
        <f>E1893+E1914+E1921</f>
        <v>269778.14681288996</v>
      </c>
      <c r="F1923" s="157">
        <f>F1893+F1914+F1921+F1922</f>
        <v>159652.386812254</v>
      </c>
    </row>
    <row r="1924" spans="1:6" ht="45">
      <c r="A1924" s="161" t="s">
        <v>22</v>
      </c>
      <c r="B1924" s="162">
        <f>B1923/12/C1876</f>
        <v>15.67086391030532</v>
      </c>
      <c r="C1924" s="14">
        <f>C1923/C1876/3</f>
        <v>8.619021872709867</v>
      </c>
      <c r="D1924" s="14">
        <f>D1923/3/C1876</f>
        <v>14.759701552991077</v>
      </c>
      <c r="E1924" s="14">
        <f>E1923/3/C1876</f>
        <v>24.69213758175837</v>
      </c>
      <c r="F1924" s="14">
        <f>F1923/3/C1876</f>
        <v>14.612594633761958</v>
      </c>
    </row>
    <row r="1925" spans="1:6" ht="12.75">
      <c r="A1925" s="163" t="s">
        <v>34</v>
      </c>
      <c r="B1925" s="154">
        <f>B1880-B1923</f>
        <v>-270109.380795622</v>
      </c>
      <c r="C1925" s="165">
        <f>C1880-C1923</f>
        <v>-7468.618704010005</v>
      </c>
      <c r="D1925" s="165">
        <f>D1880-D1923-7469</f>
        <v>-61694.178466468016</v>
      </c>
      <c r="E1925" s="12">
        <f>E1880-E1923-61694</f>
        <v>-221304.59681288997</v>
      </c>
      <c r="F1925" s="12">
        <f>F1880-F1923-221305</f>
        <v>-270109.986812254</v>
      </c>
    </row>
    <row r="1926" spans="1:6" ht="12.75">
      <c r="A1926" s="29" t="s">
        <v>44</v>
      </c>
      <c r="B1926" s="29"/>
      <c r="C1926" s="29"/>
      <c r="D1926" s="29"/>
      <c r="E1926" s="29"/>
      <c r="F1926" s="29"/>
    </row>
    <row r="1927" spans="1:6" ht="12.75">
      <c r="A1927" s="29" t="s">
        <v>579</v>
      </c>
      <c r="B1927" s="29"/>
      <c r="C1927" s="29"/>
      <c r="D1927" s="29"/>
      <c r="E1927" s="29"/>
      <c r="F1927" s="29"/>
    </row>
    <row r="1928" spans="1:6" ht="12.75">
      <c r="A1928" s="29" t="s">
        <v>45</v>
      </c>
      <c r="B1928" s="29"/>
      <c r="C1928" s="29"/>
      <c r="D1928" s="29"/>
      <c r="E1928" s="29"/>
      <c r="F1928" s="29"/>
    </row>
    <row r="1929" spans="1:6" ht="12.75">
      <c r="A1929" s="29"/>
      <c r="B1929" s="29"/>
      <c r="C1929" s="29"/>
      <c r="D1929" s="29"/>
      <c r="E1929" s="29"/>
      <c r="F1929" s="29"/>
    </row>
    <row r="1930" spans="1:6" ht="12.75">
      <c r="A1930" s="29"/>
      <c r="B1930" s="29"/>
      <c r="C1930" s="29"/>
      <c r="D1930" s="29"/>
      <c r="E1930" s="29"/>
      <c r="F1930" s="29"/>
    </row>
    <row r="1931" spans="1:6" ht="12.75">
      <c r="A1931" s="29"/>
      <c r="B1931" s="29"/>
      <c r="C1931" s="29"/>
      <c r="D1931" s="29"/>
      <c r="E1931" s="29"/>
      <c r="F1931" s="29"/>
    </row>
    <row r="1932" spans="1:6" ht="12.75">
      <c r="A1932" s="29"/>
      <c r="B1932" s="29"/>
      <c r="C1932" s="29"/>
      <c r="D1932" s="29"/>
      <c r="E1932" s="29"/>
      <c r="F1932" s="29"/>
    </row>
    <row r="1933" spans="1:6" ht="260.25" customHeight="1">
      <c r="A1933" s="29"/>
      <c r="B1933" s="29"/>
      <c r="C1933" s="29"/>
      <c r="D1933" s="29"/>
      <c r="E1933" s="29"/>
      <c r="F1933" s="29"/>
    </row>
    <row r="1934" spans="1:6" ht="12.75">
      <c r="A1934" s="120" t="s">
        <v>35</v>
      </c>
      <c r="B1934" s="120"/>
      <c r="C1934" s="29"/>
      <c r="D1934" s="29"/>
      <c r="E1934" s="29"/>
      <c r="F1934" s="29"/>
    </row>
    <row r="1935" spans="1:6" ht="12.75">
      <c r="A1935" s="29" t="s">
        <v>616</v>
      </c>
      <c r="B1935" s="29"/>
      <c r="C1935" s="29"/>
      <c r="D1935" s="29"/>
      <c r="E1935" s="29"/>
      <c r="F1935" s="29"/>
    </row>
    <row r="1936" spans="1:6" ht="12.75">
      <c r="A1936" s="29" t="s">
        <v>224</v>
      </c>
      <c r="B1936" s="29"/>
      <c r="C1936" s="29"/>
      <c r="D1936" s="29"/>
      <c r="E1936" s="29"/>
      <c r="F1936" s="29"/>
    </row>
    <row r="1937" spans="1:6" ht="12.75">
      <c r="A1937" s="29" t="s">
        <v>68</v>
      </c>
      <c r="B1937" s="29"/>
      <c r="C1937" s="29"/>
      <c r="D1937" s="29"/>
      <c r="E1937" s="29" t="s">
        <v>340</v>
      </c>
      <c r="F1937" s="29"/>
    </row>
    <row r="1938" spans="1:6" ht="12.75">
      <c r="A1938" s="10" t="s">
        <v>1</v>
      </c>
      <c r="B1938" s="10" t="s">
        <v>11</v>
      </c>
      <c r="C1938" s="10" t="s">
        <v>86</v>
      </c>
      <c r="D1938" s="10" t="s">
        <v>87</v>
      </c>
      <c r="E1938" s="10" t="s">
        <v>120</v>
      </c>
      <c r="F1938" s="10" t="s">
        <v>141</v>
      </c>
    </row>
    <row r="1939" spans="1:6" ht="12.75">
      <c r="A1939" s="22" t="s">
        <v>6</v>
      </c>
      <c r="B1939" s="22"/>
      <c r="C1939" s="10"/>
      <c r="D1939" s="5"/>
      <c r="E1939" s="5"/>
      <c r="F1939" s="5"/>
    </row>
    <row r="1940" spans="1:6" ht="12.75">
      <c r="A1940" s="5" t="s">
        <v>2</v>
      </c>
      <c r="B1940" s="5"/>
      <c r="C1940" s="10">
        <v>5</v>
      </c>
      <c r="D1940" s="5"/>
      <c r="E1940" s="5"/>
      <c r="F1940" s="5"/>
    </row>
    <row r="1941" spans="1:6" ht="12.75">
      <c r="A1941" s="5" t="s">
        <v>3</v>
      </c>
      <c r="B1941" s="5"/>
      <c r="C1941" s="10">
        <v>4</v>
      </c>
      <c r="D1941" s="5"/>
      <c r="E1941" s="5"/>
      <c r="F1941" s="5"/>
    </row>
    <row r="1942" spans="1:6" ht="12.75">
      <c r="A1942" s="5" t="s">
        <v>4</v>
      </c>
      <c r="B1942" s="5"/>
      <c r="C1942" s="10">
        <v>81</v>
      </c>
      <c r="D1942" s="5"/>
      <c r="E1942" s="5"/>
      <c r="F1942" s="5"/>
    </row>
    <row r="1943" spans="1:6" ht="12.75">
      <c r="A1943" s="5" t="s">
        <v>5</v>
      </c>
      <c r="B1943" s="10">
        <v>3803.6</v>
      </c>
      <c r="C1943" s="10">
        <v>3803.6</v>
      </c>
      <c r="D1943" s="10">
        <v>3803.6</v>
      </c>
      <c r="E1943" s="10">
        <v>3803.6</v>
      </c>
      <c r="F1943" s="10">
        <v>3803.6</v>
      </c>
    </row>
    <row r="1944" spans="1:6" ht="22.5">
      <c r="A1944" s="150" t="s">
        <v>7</v>
      </c>
      <c r="B1944" s="150"/>
      <c r="C1944" s="5" t="s">
        <v>36</v>
      </c>
      <c r="D1944" s="5"/>
      <c r="E1944" s="5"/>
      <c r="F1944" s="5"/>
    </row>
    <row r="1945" spans="1:6" ht="22.5">
      <c r="A1945" s="151" t="s">
        <v>8</v>
      </c>
      <c r="B1945" s="6">
        <f>C1945+D1945+E1945+F1945</f>
        <v>381509.86</v>
      </c>
      <c r="C1945" s="10">
        <v>86654.76</v>
      </c>
      <c r="D1945" s="10">
        <v>104635.1</v>
      </c>
      <c r="E1945" s="5">
        <v>97129.22</v>
      </c>
      <c r="F1945" s="10">
        <v>93090.78</v>
      </c>
    </row>
    <row r="1946" spans="1:6" ht="22.5">
      <c r="A1946" s="153" t="s">
        <v>9</v>
      </c>
      <c r="B1946" s="6">
        <f>C1946+D1946+E1946+F1946</f>
        <v>0</v>
      </c>
      <c r="C1946" s="10">
        <v>0</v>
      </c>
      <c r="D1946" s="10">
        <v>0</v>
      </c>
      <c r="E1946" s="5">
        <v>0</v>
      </c>
      <c r="F1946" s="10">
        <v>0</v>
      </c>
    </row>
    <row r="1947" spans="1:6" ht="12.75">
      <c r="A1947" s="5" t="s">
        <v>11</v>
      </c>
      <c r="B1947" s="150">
        <f>C1947+D1947+E1947+F1947</f>
        <v>381509.86</v>
      </c>
      <c r="C1947" s="22">
        <f>C1945+C1946</f>
        <v>86654.76</v>
      </c>
      <c r="D1947" s="22">
        <f>SUM(D1945:D1946)</f>
        <v>104635.1</v>
      </c>
      <c r="E1947" s="5">
        <f>SUM(E1945:E1946)</f>
        <v>97129.22</v>
      </c>
      <c r="F1947" s="10">
        <f>SUM(F1945:F1946)</f>
        <v>93090.78</v>
      </c>
    </row>
    <row r="1948" spans="1:6" ht="22.5">
      <c r="A1948" s="150" t="s">
        <v>12</v>
      </c>
      <c r="B1948" s="150"/>
      <c r="C1948" s="5"/>
      <c r="D1948" s="5"/>
      <c r="E1948" s="5"/>
      <c r="F1948" s="5"/>
    </row>
    <row r="1949" spans="1:7" ht="12.75">
      <c r="A1949" s="156" t="s">
        <v>13</v>
      </c>
      <c r="B1949" s="166">
        <f>C1949+D1949+E1949+F1949</f>
        <v>120106.1592884</v>
      </c>
      <c r="C1949" s="157">
        <f>7.5947*C1943</f>
        <v>28887.20092</v>
      </c>
      <c r="D1949" s="157">
        <f>7.632*C1943</f>
        <v>29029.0752</v>
      </c>
      <c r="E1949" s="157">
        <f>8.5526*E1943</f>
        <v>32530.66936</v>
      </c>
      <c r="F1949" s="157">
        <f>7.797669*F1943</f>
        <v>29659.2138084</v>
      </c>
      <c r="G1949" s="8"/>
    </row>
    <row r="1950" spans="1:6" ht="21.75">
      <c r="A1950" s="156" t="s">
        <v>14</v>
      </c>
      <c r="B1950" s="167">
        <f aca="true" t="shared" si="33" ref="B1950:B1990">C1950+D1950+E1950+F1950</f>
        <v>0</v>
      </c>
      <c r="C1950" s="12"/>
      <c r="D1950" s="12"/>
      <c r="E1950" s="12"/>
      <c r="F1950" s="12"/>
    </row>
    <row r="1951" spans="1:6" ht="12.75">
      <c r="A1951" s="153" t="s">
        <v>15</v>
      </c>
      <c r="B1951" s="167">
        <f t="shared" si="33"/>
        <v>138099.81</v>
      </c>
      <c r="C1951" s="12">
        <f>C1952+C1954</f>
        <v>30735.14</v>
      </c>
      <c r="D1951" s="12">
        <f>D1952+D1954+D1955+D1956+D1957+D1958+D1959</f>
        <v>36035.130000000005</v>
      </c>
      <c r="E1951" s="12">
        <f>E1952+E1954+E1955+E1956+E1957+E1958+E1959</f>
        <v>39397.22</v>
      </c>
      <c r="F1951" s="12">
        <f>F1952+F1954+F1955+F1956+F1957+F1958+F1959</f>
        <v>31932.32</v>
      </c>
    </row>
    <row r="1952" spans="1:6" ht="12.75">
      <c r="A1952" s="158" t="s">
        <v>16</v>
      </c>
      <c r="B1952" s="167">
        <f t="shared" si="33"/>
        <v>123417</v>
      </c>
      <c r="C1952" s="165">
        <v>30500</v>
      </c>
      <c r="D1952" s="12">
        <v>27001</v>
      </c>
      <c r="E1952" s="12">
        <v>34732</v>
      </c>
      <c r="F1952" s="12">
        <v>31184</v>
      </c>
    </row>
    <row r="1953" spans="1:6" ht="12.75">
      <c r="A1953" s="153" t="s">
        <v>33</v>
      </c>
      <c r="B1953" s="167">
        <f t="shared" si="33"/>
        <v>78896.51</v>
      </c>
      <c r="C1953" s="165">
        <v>18010.51</v>
      </c>
      <c r="D1953" s="12">
        <v>17690</v>
      </c>
      <c r="E1953" s="12">
        <v>21598</v>
      </c>
      <c r="F1953" s="12">
        <v>21598</v>
      </c>
    </row>
    <row r="1954" spans="1:6" ht="12.75">
      <c r="A1954" s="153" t="s">
        <v>24</v>
      </c>
      <c r="B1954" s="167">
        <f t="shared" si="33"/>
        <v>2247.31</v>
      </c>
      <c r="C1954" s="12">
        <v>235.14</v>
      </c>
      <c r="D1954" s="12">
        <v>567.63</v>
      </c>
      <c r="E1954" s="12">
        <v>696.22</v>
      </c>
      <c r="F1954" s="12">
        <v>748.32</v>
      </c>
    </row>
    <row r="1955" spans="1:6" ht="12.75">
      <c r="A1955" s="153" t="s">
        <v>17</v>
      </c>
      <c r="B1955" s="167">
        <f t="shared" si="33"/>
        <v>0</v>
      </c>
      <c r="C1955" s="12"/>
      <c r="D1955" s="12"/>
      <c r="E1955" s="12"/>
      <c r="F1955" s="12"/>
    </row>
    <row r="1956" spans="1:6" ht="12.75">
      <c r="A1956" s="153" t="s">
        <v>286</v>
      </c>
      <c r="B1956" s="167">
        <f t="shared" si="33"/>
        <v>1485</v>
      </c>
      <c r="C1956" s="12"/>
      <c r="D1956" s="12">
        <v>1485</v>
      </c>
      <c r="E1956" s="12"/>
      <c r="F1956" s="12"/>
    </row>
    <row r="1957" spans="1:6" ht="12.75">
      <c r="A1957" s="153" t="s">
        <v>65</v>
      </c>
      <c r="B1957" s="167">
        <f t="shared" si="33"/>
        <v>0</v>
      </c>
      <c r="C1957" s="12"/>
      <c r="D1957" s="12"/>
      <c r="E1957" s="12"/>
      <c r="F1957" s="12"/>
    </row>
    <row r="1958" spans="1:6" ht="12.75">
      <c r="A1958" s="153" t="s">
        <v>415</v>
      </c>
      <c r="B1958" s="167">
        <f t="shared" si="33"/>
        <v>7500</v>
      </c>
      <c r="C1958" s="12"/>
      <c r="D1958" s="12">
        <v>3531</v>
      </c>
      <c r="E1958" s="12">
        <v>3969</v>
      </c>
      <c r="F1958" s="12"/>
    </row>
    <row r="1959" spans="1:6" ht="12.75">
      <c r="A1959" s="153" t="s">
        <v>106</v>
      </c>
      <c r="B1959" s="167">
        <f t="shared" si="33"/>
        <v>3450.5</v>
      </c>
      <c r="C1959" s="12"/>
      <c r="D1959" s="12">
        <v>3450.5</v>
      </c>
      <c r="E1959" s="12"/>
      <c r="F1959" s="12"/>
    </row>
    <row r="1960" spans="1:6" ht="12.75">
      <c r="A1960" s="155" t="s">
        <v>11</v>
      </c>
      <c r="B1960" s="166">
        <f>B1949+B1951</f>
        <v>258205.9692884</v>
      </c>
      <c r="C1960" s="157">
        <f>C1949+C1951</f>
        <v>59622.34092</v>
      </c>
      <c r="D1960" s="157">
        <f>D1949+D1951</f>
        <v>65064.205200000004</v>
      </c>
      <c r="E1960" s="157">
        <f>E1949+E1951</f>
        <v>71927.88936</v>
      </c>
      <c r="F1960" s="157">
        <f>F1949+F1951</f>
        <v>61591.533808399996</v>
      </c>
    </row>
    <row r="1961" spans="1:6" ht="21.75">
      <c r="A1961" s="159" t="s">
        <v>18</v>
      </c>
      <c r="B1961" s="167">
        <f t="shared" si="33"/>
        <v>0</v>
      </c>
      <c r="C1961" s="12"/>
      <c r="D1961" s="12"/>
      <c r="E1961" s="12"/>
      <c r="F1961" s="12"/>
    </row>
    <row r="1962" spans="1:6" ht="12.75">
      <c r="A1962" s="153" t="s">
        <v>23</v>
      </c>
      <c r="B1962" s="167">
        <f t="shared" si="33"/>
        <v>93274.54172000001</v>
      </c>
      <c r="C1962" s="165">
        <f>5.3352*C1943</f>
        <v>20292.96672</v>
      </c>
      <c r="D1962" s="12">
        <f>6.1735*C1943</f>
        <v>23481.524599999997</v>
      </c>
      <c r="E1962" s="12">
        <f>6.4099*E1943</f>
        <v>24380.69564</v>
      </c>
      <c r="F1962" s="12">
        <f>6.6041*F1943</f>
        <v>25119.35476</v>
      </c>
    </row>
    <row r="1963" spans="1:6" ht="12.75">
      <c r="A1963" s="153" t="s">
        <v>63</v>
      </c>
      <c r="B1963" s="167">
        <f t="shared" si="33"/>
        <v>0</v>
      </c>
      <c r="C1963" s="12"/>
      <c r="D1963" s="12"/>
      <c r="E1963" s="12"/>
      <c r="F1963" s="12"/>
    </row>
    <row r="1964" spans="1:6" ht="12.75">
      <c r="A1964" s="153" t="s">
        <v>514</v>
      </c>
      <c r="B1964" s="167">
        <f t="shared" si="33"/>
        <v>1520</v>
      </c>
      <c r="C1964" s="12"/>
      <c r="D1964" s="12"/>
      <c r="E1964" s="12"/>
      <c r="F1964" s="12">
        <v>1520</v>
      </c>
    </row>
    <row r="1965" spans="1:6" ht="12.75">
      <c r="A1965" s="153" t="s">
        <v>30</v>
      </c>
      <c r="B1965" s="167">
        <f t="shared" si="33"/>
        <v>604.5</v>
      </c>
      <c r="C1965" s="12">
        <v>88.5</v>
      </c>
      <c r="D1965" s="12"/>
      <c r="E1965" s="12">
        <v>516</v>
      </c>
      <c r="F1965" s="12"/>
    </row>
    <row r="1966" spans="1:6" ht="12.75">
      <c r="A1966" s="153" t="s">
        <v>28</v>
      </c>
      <c r="B1966" s="167">
        <f t="shared" si="33"/>
        <v>237.5</v>
      </c>
      <c r="C1966" s="12">
        <v>237.5</v>
      </c>
      <c r="D1966" s="12"/>
      <c r="E1966" s="12"/>
      <c r="F1966" s="12"/>
    </row>
    <row r="1967" spans="1:6" ht="12.75">
      <c r="A1967" s="153" t="s">
        <v>41</v>
      </c>
      <c r="B1967" s="167">
        <f t="shared" si="33"/>
        <v>0</v>
      </c>
      <c r="C1967" s="12"/>
      <c r="D1967" s="12"/>
      <c r="E1967" s="12"/>
      <c r="F1967" s="12"/>
    </row>
    <row r="1968" spans="1:6" ht="12.75">
      <c r="A1968" s="153" t="s">
        <v>50</v>
      </c>
      <c r="B1968" s="167">
        <f t="shared" si="33"/>
        <v>1603</v>
      </c>
      <c r="C1968" s="12"/>
      <c r="D1968" s="12">
        <v>672</v>
      </c>
      <c r="E1968" s="12">
        <v>931</v>
      </c>
      <c r="F1968" s="12"/>
    </row>
    <row r="1969" spans="1:6" ht="12.75">
      <c r="A1969" s="153" t="s">
        <v>52</v>
      </c>
      <c r="B1969" s="167">
        <f t="shared" si="33"/>
        <v>0</v>
      </c>
      <c r="C1969" s="12"/>
      <c r="D1969" s="12"/>
      <c r="E1969" s="12"/>
      <c r="F1969" s="12"/>
    </row>
    <row r="1970" spans="1:6" ht="22.5">
      <c r="A1970" s="153" t="s">
        <v>225</v>
      </c>
      <c r="B1970" s="167">
        <f t="shared" si="33"/>
        <v>544.97</v>
      </c>
      <c r="C1970" s="12">
        <v>544.97</v>
      </c>
      <c r="D1970" s="12"/>
      <c r="E1970" s="12"/>
      <c r="F1970" s="12"/>
    </row>
    <row r="1971" spans="1:6" ht="12.75">
      <c r="A1971" s="153" t="s">
        <v>27</v>
      </c>
      <c r="B1971" s="167">
        <f t="shared" si="33"/>
        <v>332</v>
      </c>
      <c r="C1971" s="12"/>
      <c r="D1971" s="12">
        <v>180</v>
      </c>
      <c r="E1971" s="12">
        <v>152</v>
      </c>
      <c r="F1971" s="12"/>
    </row>
    <row r="1972" spans="1:6" ht="12.75">
      <c r="A1972" s="153" t="s">
        <v>416</v>
      </c>
      <c r="B1972" s="167">
        <f t="shared" si="33"/>
        <v>19516</v>
      </c>
      <c r="C1972" s="12"/>
      <c r="D1972" s="12"/>
      <c r="E1972" s="12">
        <v>19516</v>
      </c>
      <c r="F1972" s="12"/>
    </row>
    <row r="1973" spans="1:6" ht="12.75">
      <c r="A1973" s="153" t="s">
        <v>47</v>
      </c>
      <c r="B1973" s="167">
        <f t="shared" si="33"/>
        <v>0</v>
      </c>
      <c r="C1973" s="12"/>
      <c r="D1973" s="12"/>
      <c r="E1973" s="12"/>
      <c r="F1973" s="12"/>
    </row>
    <row r="1974" spans="1:6" ht="12.75">
      <c r="A1974" s="153" t="s">
        <v>497</v>
      </c>
      <c r="B1974" s="167">
        <f t="shared" si="33"/>
        <v>0</v>
      </c>
      <c r="C1974" s="12"/>
      <c r="D1974" s="12"/>
      <c r="E1974" s="12"/>
      <c r="F1974" s="30">
        <v>0</v>
      </c>
    </row>
    <row r="1975" spans="1:6" ht="12.75">
      <c r="A1975" s="153" t="s">
        <v>117</v>
      </c>
      <c r="B1975" s="167">
        <f t="shared" si="33"/>
        <v>125</v>
      </c>
      <c r="C1975" s="12"/>
      <c r="D1975" s="12"/>
      <c r="E1975" s="12">
        <v>125</v>
      </c>
      <c r="F1975" s="12"/>
    </row>
    <row r="1976" spans="1:6" ht="12.75">
      <c r="A1976" s="153" t="s">
        <v>49</v>
      </c>
      <c r="B1976" s="167">
        <f t="shared" si="33"/>
        <v>0</v>
      </c>
      <c r="C1976" s="12"/>
      <c r="D1976" s="12"/>
      <c r="E1976" s="12"/>
      <c r="F1976" s="12"/>
    </row>
    <row r="1977" spans="1:6" ht="12.75">
      <c r="A1977" s="153" t="s">
        <v>453</v>
      </c>
      <c r="B1977" s="167">
        <f t="shared" si="33"/>
        <v>956</v>
      </c>
      <c r="C1977" s="12"/>
      <c r="D1977" s="12"/>
      <c r="E1977" s="12"/>
      <c r="F1977" s="12">
        <v>956</v>
      </c>
    </row>
    <row r="1978" spans="1:6" ht="12.75">
      <c r="A1978" s="153" t="s">
        <v>55</v>
      </c>
      <c r="B1978" s="167">
        <f t="shared" si="33"/>
        <v>0</v>
      </c>
      <c r="C1978" s="12"/>
      <c r="D1978" s="12"/>
      <c r="E1978" s="12"/>
      <c r="F1978" s="12"/>
    </row>
    <row r="1979" spans="1:6" ht="12.75">
      <c r="A1979" s="153" t="s">
        <v>232</v>
      </c>
      <c r="B1979" s="167">
        <f t="shared" si="33"/>
        <v>6</v>
      </c>
      <c r="C1979" s="12">
        <v>6</v>
      </c>
      <c r="D1979" s="12"/>
      <c r="E1979" s="12"/>
      <c r="F1979" s="12"/>
    </row>
    <row r="1980" spans="1:6" ht="12.75">
      <c r="A1980" s="153" t="s">
        <v>116</v>
      </c>
      <c r="B1980" s="167">
        <f t="shared" si="33"/>
        <v>0</v>
      </c>
      <c r="C1980" s="12"/>
      <c r="D1980" s="12"/>
      <c r="E1980" s="12"/>
      <c r="F1980" s="12"/>
    </row>
    <row r="1981" spans="1:6" ht="12.75">
      <c r="A1981" s="155" t="s">
        <v>11</v>
      </c>
      <c r="B1981" s="166">
        <f t="shared" si="33"/>
        <v>118719.51172000001</v>
      </c>
      <c r="C1981" s="157">
        <f>C1962+C1963+C1964+C1965+C1966+C1967+C1968+C1969+C1970+C1971+C1972+C1973+C1974+C1975+C1976+C1977+C1978+C1979+C1980</f>
        <v>21169.93672</v>
      </c>
      <c r="D1981" s="157">
        <f>SUM(D1962:D1980)</f>
        <v>24333.524599999997</v>
      </c>
      <c r="E1981" s="157">
        <f>SUM(E1962:E1980)</f>
        <v>45620.695640000005</v>
      </c>
      <c r="F1981" s="157">
        <f>SUM(F1962:F1980)</f>
        <v>27595.35476</v>
      </c>
    </row>
    <row r="1982" spans="1:6" ht="12.75">
      <c r="A1982" s="155" t="s">
        <v>19</v>
      </c>
      <c r="B1982" s="167">
        <f t="shared" si="33"/>
        <v>0</v>
      </c>
      <c r="C1982" s="12"/>
      <c r="D1982" s="12"/>
      <c r="E1982" s="12"/>
      <c r="F1982" s="12"/>
    </row>
    <row r="1983" spans="1:6" ht="12.75">
      <c r="A1983" s="153" t="s">
        <v>38</v>
      </c>
      <c r="B1983" s="167">
        <f t="shared" si="33"/>
        <v>3197.4316787999996</v>
      </c>
      <c r="C1983" s="12">
        <f>0.218666*C1943</f>
        <v>831.7179976</v>
      </c>
      <c r="D1983" s="12">
        <f>0.210458*C1943</f>
        <v>800.4980488</v>
      </c>
      <c r="E1983" s="12">
        <f>0.167241*E1943</f>
        <v>636.1178676</v>
      </c>
      <c r="F1983" s="12">
        <f>0.244268*F1943</f>
        <v>929.0977648</v>
      </c>
    </row>
    <row r="1984" spans="1:6" ht="12.75">
      <c r="A1984" s="153" t="s">
        <v>39</v>
      </c>
      <c r="B1984" s="167">
        <f t="shared" si="33"/>
        <v>6340.293108399999</v>
      </c>
      <c r="C1984" s="12">
        <f>0.306583*C1943</f>
        <v>1166.1190987999998</v>
      </c>
      <c r="D1984" s="12">
        <f>0.0733554*C1943</f>
        <v>279.01459944</v>
      </c>
      <c r="E1984" s="12">
        <f>0.536065*E1943</f>
        <v>2038.976834</v>
      </c>
      <c r="F1984" s="12">
        <f>0.7509156*F1943</f>
        <v>2856.18257616</v>
      </c>
    </row>
    <row r="1985" spans="1:6" ht="12.75">
      <c r="A1985" s="153" t="s">
        <v>32</v>
      </c>
      <c r="B1985" s="167">
        <f t="shared" si="33"/>
        <v>0</v>
      </c>
      <c r="C1985" s="12"/>
      <c r="D1985" s="12"/>
      <c r="E1985" s="12"/>
      <c r="F1985" s="12"/>
    </row>
    <row r="1986" spans="1:6" ht="12.75">
      <c r="A1986" s="153" t="s">
        <v>37</v>
      </c>
      <c r="B1986" s="167">
        <f t="shared" si="33"/>
        <v>8191.261037280001</v>
      </c>
      <c r="C1986" s="12">
        <f>0.70476*C1943</f>
        <v>2680.625136</v>
      </c>
      <c r="D1986" s="12">
        <f>0.3731258*C1943</f>
        <v>1419.22129288</v>
      </c>
      <c r="E1986" s="12">
        <f>0.553205*E1943</f>
        <v>2104.170538</v>
      </c>
      <c r="F1986" s="12">
        <f>0.522464*F1943</f>
        <v>1987.2440704</v>
      </c>
    </row>
    <row r="1987" spans="1:6" ht="12.75">
      <c r="A1987" s="153" t="s">
        <v>20</v>
      </c>
      <c r="B1987" s="167">
        <f t="shared" si="33"/>
        <v>3028.9131808</v>
      </c>
      <c r="C1987" s="12"/>
      <c r="D1987" s="12">
        <f>0.158142*C1943</f>
        <v>601.5089112000001</v>
      </c>
      <c r="E1987" s="12">
        <f>0.60489*E1943</f>
        <v>2300.7596040000003</v>
      </c>
      <c r="F1987" s="12">
        <f>0.033296*F1943</f>
        <v>126.6446656</v>
      </c>
    </row>
    <row r="1988" spans="1:6" ht="12.75">
      <c r="A1988" s="156" t="s">
        <v>11</v>
      </c>
      <c r="B1988" s="166">
        <f t="shared" si="33"/>
        <v>20757.89900528</v>
      </c>
      <c r="C1988" s="157">
        <f>C1983+C1984+C1985+C1986+C1987</f>
        <v>4678.4622324</v>
      </c>
      <c r="D1988" s="157">
        <f>SUM(D1983:D1987)</f>
        <v>3100.24285232</v>
      </c>
      <c r="E1988" s="157">
        <f>SUM(E1983:E1987)</f>
        <v>7080.0248436</v>
      </c>
      <c r="F1988" s="157">
        <f>SUM(F1983:F1987)</f>
        <v>5899.16907696</v>
      </c>
    </row>
    <row r="1989" spans="1:6" ht="12.75">
      <c r="A1989" s="153" t="s">
        <v>101</v>
      </c>
      <c r="B1989" s="167">
        <f t="shared" si="33"/>
        <v>2482.2664895999997</v>
      </c>
      <c r="C1989" s="157">
        <f>0.0644*C1943</f>
        <v>244.95183999999998</v>
      </c>
      <c r="D1989" s="157">
        <v>211</v>
      </c>
      <c r="E1989" s="12">
        <f>0.10264*E1943</f>
        <v>390.401504</v>
      </c>
      <c r="F1989" s="12">
        <f>0.430096*F1943</f>
        <v>1635.9131455999998</v>
      </c>
    </row>
    <row r="1990" spans="1:6" ht="33.75">
      <c r="A1990" s="161" t="s">
        <v>21</v>
      </c>
      <c r="B1990" s="166">
        <f t="shared" si="33"/>
        <v>399775.24499928</v>
      </c>
      <c r="C1990" s="157">
        <f>C1960+C1981+C1988+C1989</f>
        <v>85715.69171239999</v>
      </c>
      <c r="D1990" s="157">
        <f>D1960+D1981+D1988+D1989</f>
        <v>92708.97265232001</v>
      </c>
      <c r="E1990" s="157">
        <f>E1960++E1981+E1988</f>
        <v>124628.6098436</v>
      </c>
      <c r="F1990" s="157">
        <f>F1960+F1981+F1988+F1989</f>
        <v>96721.97079096</v>
      </c>
    </row>
    <row r="1991" spans="1:6" ht="45">
      <c r="A1991" s="161" t="s">
        <v>22</v>
      </c>
      <c r="B1991" s="162">
        <f>B1990/12/C1943</f>
        <v>8.7587032679409</v>
      </c>
      <c r="C1991" s="14">
        <f>C1990/C1943/3</f>
        <v>7.511803879868194</v>
      </c>
      <c r="D1991" s="14">
        <f>D1990/3/C1943</f>
        <v>8.124668967322187</v>
      </c>
      <c r="E1991" s="14">
        <f>E1990/C1943/3</f>
        <v>10.921987051179585</v>
      </c>
      <c r="F1991" s="14">
        <f>F1990/3/C1943</f>
        <v>8.476353173393626</v>
      </c>
    </row>
    <row r="1992" spans="1:6" ht="12.75">
      <c r="A1992" s="163" t="s">
        <v>34</v>
      </c>
      <c r="B1992" s="154">
        <f>B1947-B1990</f>
        <v>-18265.38499928004</v>
      </c>
      <c r="C1992" s="165">
        <f>C1947-C1990</f>
        <v>939.0682876000064</v>
      </c>
      <c r="D1992" s="12">
        <f>D1947-D1990+C1992</f>
        <v>12865.195635280004</v>
      </c>
      <c r="E1992" s="12">
        <f>E1947-E1990+D1992</f>
        <v>-14634.194208319997</v>
      </c>
      <c r="F1992" s="12">
        <f>F1947-F1990-14634</f>
        <v>-18265.190790959998</v>
      </c>
    </row>
    <row r="1993" spans="1:6" ht="12.75">
      <c r="A1993" s="29" t="s">
        <v>44</v>
      </c>
      <c r="B1993" s="29"/>
      <c r="C1993" s="29"/>
      <c r="D1993" s="29"/>
      <c r="E1993" s="29"/>
      <c r="F1993" s="29"/>
    </row>
    <row r="1994" spans="1:6" ht="12.75">
      <c r="A1994" s="29" t="s">
        <v>579</v>
      </c>
      <c r="B1994" s="29"/>
      <c r="C1994" s="29"/>
      <c r="D1994" s="29"/>
      <c r="E1994" s="29"/>
      <c r="F1994" s="29"/>
    </row>
    <row r="1995" spans="1:6" ht="12.75">
      <c r="A1995" s="29" t="s">
        <v>45</v>
      </c>
      <c r="B1995" s="29"/>
      <c r="C1995" s="29"/>
      <c r="D1995" s="29"/>
      <c r="E1995" s="29"/>
      <c r="F1995" s="29"/>
    </row>
    <row r="1996" spans="1:6" ht="12.75">
      <c r="A1996" s="29"/>
      <c r="B1996" s="29"/>
      <c r="C1996" s="29"/>
      <c r="D1996" s="29"/>
      <c r="E1996" s="29"/>
      <c r="F1996" s="29"/>
    </row>
    <row r="1997" spans="1:6" ht="298.5" customHeight="1">
      <c r="A1997" s="29"/>
      <c r="B1997" s="29"/>
      <c r="C1997" s="29"/>
      <c r="D1997" s="29"/>
      <c r="E1997" s="29"/>
      <c r="F1997" s="29"/>
    </row>
    <row r="1998" spans="1:6" ht="12.75">
      <c r="A1998" s="120" t="s">
        <v>35</v>
      </c>
      <c r="B1998" s="120"/>
      <c r="C1998" s="29"/>
      <c r="D1998" s="29"/>
      <c r="E1998" s="29"/>
      <c r="F1998" s="29"/>
    </row>
    <row r="1999" spans="1:6" ht="12.75">
      <c r="A1999" s="29" t="s">
        <v>616</v>
      </c>
      <c r="B1999" s="29"/>
      <c r="C1999" s="29"/>
      <c r="D1999" s="29"/>
      <c r="E1999" s="29"/>
      <c r="F1999" s="29"/>
    </row>
    <row r="2000" spans="1:6" ht="12.75">
      <c r="A2000" s="29" t="s">
        <v>224</v>
      </c>
      <c r="B2000" s="29"/>
      <c r="C2000" s="29"/>
      <c r="D2000" s="29"/>
      <c r="E2000" s="29"/>
      <c r="F2000" s="29"/>
    </row>
    <row r="2001" spans="1:6" ht="12.75">
      <c r="A2001" s="29" t="s">
        <v>69</v>
      </c>
      <c r="B2001" s="29"/>
      <c r="C2001" s="29"/>
      <c r="D2001" s="29"/>
      <c r="E2001" s="29" t="s">
        <v>340</v>
      </c>
      <c r="F2001" s="29"/>
    </row>
    <row r="2002" spans="1:6" ht="12.75">
      <c r="A2002" s="10" t="s">
        <v>1</v>
      </c>
      <c r="B2002" s="10" t="s">
        <v>11</v>
      </c>
      <c r="C2002" s="10" t="s">
        <v>86</v>
      </c>
      <c r="D2002" s="10" t="s">
        <v>87</v>
      </c>
      <c r="E2002" s="10" t="s">
        <v>120</v>
      </c>
      <c r="F2002" s="10" t="s">
        <v>141</v>
      </c>
    </row>
    <row r="2003" spans="1:6" ht="12.75">
      <c r="A2003" s="22" t="s">
        <v>6</v>
      </c>
      <c r="B2003" s="22"/>
      <c r="C2003" s="10"/>
      <c r="D2003" s="5"/>
      <c r="E2003" s="5"/>
      <c r="F2003" s="5"/>
    </row>
    <row r="2004" spans="1:6" ht="12.75">
      <c r="A2004" s="5" t="s">
        <v>2</v>
      </c>
      <c r="B2004" s="5"/>
      <c r="C2004" s="10">
        <v>5</v>
      </c>
      <c r="D2004" s="5"/>
      <c r="E2004" s="5"/>
      <c r="F2004" s="5"/>
    </row>
    <row r="2005" spans="1:6" ht="12.75">
      <c r="A2005" s="5" t="s">
        <v>3</v>
      </c>
      <c r="B2005" s="5"/>
      <c r="C2005" s="10">
        <v>4</v>
      </c>
      <c r="D2005" s="5"/>
      <c r="E2005" s="5"/>
      <c r="F2005" s="5"/>
    </row>
    <row r="2006" spans="1:6" ht="12.75">
      <c r="A2006" s="5" t="s">
        <v>4</v>
      </c>
      <c r="B2006" s="5"/>
      <c r="C2006" s="10">
        <v>80</v>
      </c>
      <c r="D2006" s="5"/>
      <c r="E2006" s="5"/>
      <c r="F2006" s="5"/>
    </row>
    <row r="2007" spans="1:6" ht="12.75">
      <c r="A2007" s="5" t="s">
        <v>5</v>
      </c>
      <c r="B2007" s="10">
        <v>3765.82</v>
      </c>
      <c r="C2007" s="10">
        <v>3765.82</v>
      </c>
      <c r="D2007" s="10">
        <v>3765.82</v>
      </c>
      <c r="E2007" s="10">
        <v>3765.82</v>
      </c>
      <c r="F2007" s="10">
        <v>3765.82</v>
      </c>
    </row>
    <row r="2008" spans="1:6" ht="22.5">
      <c r="A2008" s="150" t="s">
        <v>7</v>
      </c>
      <c r="B2008" s="150"/>
      <c r="C2008" s="5" t="s">
        <v>36</v>
      </c>
      <c r="D2008" s="5"/>
      <c r="E2008" s="5"/>
      <c r="F2008" s="5"/>
    </row>
    <row r="2009" spans="1:6" ht="22.5">
      <c r="A2009" s="151" t="s">
        <v>8</v>
      </c>
      <c r="B2009" s="6">
        <f>C2009+D2009+E2009+F2009</f>
        <v>402241.07</v>
      </c>
      <c r="C2009" s="10">
        <v>99259.69</v>
      </c>
      <c r="D2009" s="10">
        <v>104327.65</v>
      </c>
      <c r="E2009" s="10">
        <v>94931.98</v>
      </c>
      <c r="F2009" s="10">
        <v>103721.75</v>
      </c>
    </row>
    <row r="2010" spans="1:6" ht="22.5">
      <c r="A2010" s="153" t="s">
        <v>9</v>
      </c>
      <c r="B2010" s="6">
        <f>C2010+D2010+E2010+F2010</f>
        <v>1900.8000000000002</v>
      </c>
      <c r="C2010" s="10">
        <v>0</v>
      </c>
      <c r="D2010" s="10">
        <v>0</v>
      </c>
      <c r="E2010" s="10">
        <v>760.32</v>
      </c>
      <c r="F2010" s="10">
        <v>1140.48</v>
      </c>
    </row>
    <row r="2011" spans="1:6" ht="12.75">
      <c r="A2011" s="5" t="s">
        <v>11</v>
      </c>
      <c r="B2011" s="150">
        <f>C2011+D2011+E2011+F2011</f>
        <v>404141.87</v>
      </c>
      <c r="C2011" s="22">
        <f>C2009+C2010</f>
        <v>99259.69</v>
      </c>
      <c r="D2011" s="22">
        <f>SUM(D2009:D2010)</f>
        <v>104327.65</v>
      </c>
      <c r="E2011" s="22">
        <f>SUM(E2009:E2010)</f>
        <v>95692.3</v>
      </c>
      <c r="F2011" s="22">
        <f>SUM(F2009:F2010)</f>
        <v>104862.23</v>
      </c>
    </row>
    <row r="2012" spans="1:6" ht="22.5">
      <c r="A2012" s="150" t="s">
        <v>12</v>
      </c>
      <c r="B2012" s="150"/>
      <c r="C2012" s="5"/>
      <c r="D2012" s="5"/>
      <c r="E2012" s="5"/>
      <c r="F2012" s="5"/>
    </row>
    <row r="2013" spans="1:7" ht="12.75">
      <c r="A2013" s="156" t="s">
        <v>13</v>
      </c>
      <c r="B2013" s="166">
        <f>C2013+D2013+E2013+F2013</f>
        <v>118913.18139958</v>
      </c>
      <c r="C2013" s="157">
        <f>7.5947*C2007</f>
        <v>28600.273154</v>
      </c>
      <c r="D2013" s="157">
        <f>7.632*C2007</f>
        <v>28740.73824</v>
      </c>
      <c r="E2013" s="157">
        <f>8.5526*E2007</f>
        <v>32207.552132</v>
      </c>
      <c r="F2013" s="157">
        <f>7.797669*F2007</f>
        <v>29364.617873580002</v>
      </c>
      <c r="G2013" s="8"/>
    </row>
    <row r="2014" spans="1:6" ht="21.75">
      <c r="A2014" s="156" t="s">
        <v>14</v>
      </c>
      <c r="B2014" s="167">
        <f aca="true" t="shared" si="34" ref="B2014:B2055">C2014+D2014+E2014+F2014</f>
        <v>0</v>
      </c>
      <c r="C2014" s="12"/>
      <c r="D2014" s="12"/>
      <c r="E2014" s="12"/>
      <c r="F2014" s="12"/>
    </row>
    <row r="2015" spans="1:6" ht="12.75">
      <c r="A2015" s="153" t="s">
        <v>15</v>
      </c>
      <c r="B2015" s="167">
        <f t="shared" si="34"/>
        <v>126199.01</v>
      </c>
      <c r="C2015" s="12">
        <f>C2016+C2018</f>
        <v>27285</v>
      </c>
      <c r="D2015" s="12">
        <f>D2016+D2018+D2019+D2020+D2021+D2022+D2023</f>
        <v>31499.67</v>
      </c>
      <c r="E2015" s="12">
        <f>E2016+E2018+E2019+E2020+E2021+E2022+E2023</f>
        <v>37256.82</v>
      </c>
      <c r="F2015" s="12">
        <f>F2016+F2018+F2019+F2020+F2021+F2022+F2023</f>
        <v>30157.52</v>
      </c>
    </row>
    <row r="2016" spans="1:6" ht="12.75">
      <c r="A2016" s="158" t="s">
        <v>16</v>
      </c>
      <c r="B2016" s="167">
        <f t="shared" si="34"/>
        <v>115038</v>
      </c>
      <c r="C2016" s="165">
        <v>27053</v>
      </c>
      <c r="D2016" s="12">
        <v>25651</v>
      </c>
      <c r="E2016" s="12">
        <v>32923</v>
      </c>
      <c r="F2016" s="12">
        <f>29411</f>
        <v>29411</v>
      </c>
    </row>
    <row r="2017" spans="1:6" ht="12.75">
      <c r="A2017" s="153" t="s">
        <v>33</v>
      </c>
      <c r="B2017" s="167">
        <f t="shared" si="34"/>
        <v>70960</v>
      </c>
      <c r="C2017" s="165">
        <v>14688</v>
      </c>
      <c r="D2017" s="12">
        <v>16432</v>
      </c>
      <c r="E2017" s="12">
        <v>19920</v>
      </c>
      <c r="F2017" s="12">
        <v>19920</v>
      </c>
    </row>
    <row r="2018" spans="1:6" ht="12.75">
      <c r="A2018" s="153" t="s">
        <v>24</v>
      </c>
      <c r="B2018" s="167">
        <f t="shared" si="34"/>
        <v>2225.51</v>
      </c>
      <c r="C2018" s="12">
        <v>232</v>
      </c>
      <c r="D2018" s="12">
        <v>560.17</v>
      </c>
      <c r="E2018" s="12">
        <v>686.82</v>
      </c>
      <c r="F2018" s="12">
        <v>746.52</v>
      </c>
    </row>
    <row r="2019" spans="1:6" ht="12.75">
      <c r="A2019" s="153" t="s">
        <v>17</v>
      </c>
      <c r="B2019" s="167">
        <f t="shared" si="34"/>
        <v>0</v>
      </c>
      <c r="C2019" s="12"/>
      <c r="D2019" s="12"/>
      <c r="E2019" s="12"/>
      <c r="F2019" s="12"/>
    </row>
    <row r="2020" spans="1:6" ht="12.75">
      <c r="A2020" s="153" t="s">
        <v>40</v>
      </c>
      <c r="B2020" s="167">
        <f t="shared" si="34"/>
        <v>1000</v>
      </c>
      <c r="C2020" s="12"/>
      <c r="D2020" s="12">
        <v>1000</v>
      </c>
      <c r="E2020" s="12"/>
      <c r="F2020" s="12"/>
    </row>
    <row r="2021" spans="1:6" ht="12.75">
      <c r="A2021" s="153" t="s">
        <v>288</v>
      </c>
      <c r="B2021" s="167">
        <f t="shared" si="34"/>
        <v>1485</v>
      </c>
      <c r="C2021" s="12"/>
      <c r="D2021" s="12">
        <v>1485</v>
      </c>
      <c r="E2021" s="12"/>
      <c r="F2021" s="12"/>
    </row>
    <row r="2022" spans="1:6" ht="12.75">
      <c r="A2022" s="153" t="s">
        <v>417</v>
      </c>
      <c r="B2022" s="167">
        <f t="shared" si="34"/>
        <v>5990</v>
      </c>
      <c r="C2022" s="12"/>
      <c r="D2022" s="12">
        <v>2343</v>
      </c>
      <c r="E2022" s="12">
        <v>3647</v>
      </c>
      <c r="F2022" s="12"/>
    </row>
    <row r="2023" spans="1:6" ht="12.75">
      <c r="A2023" s="153" t="s">
        <v>106</v>
      </c>
      <c r="B2023" s="167">
        <f t="shared" si="34"/>
        <v>460.5</v>
      </c>
      <c r="C2023" s="12"/>
      <c r="D2023" s="12">
        <v>460.5</v>
      </c>
      <c r="E2023" s="12"/>
      <c r="F2023" s="12"/>
    </row>
    <row r="2024" spans="1:6" ht="12.75">
      <c r="A2024" s="155" t="s">
        <v>11</v>
      </c>
      <c r="B2024" s="166">
        <f t="shared" si="34"/>
        <v>245112.19139958</v>
      </c>
      <c r="C2024" s="157">
        <f>C2013+C2015</f>
        <v>55885.273153999995</v>
      </c>
      <c r="D2024" s="157">
        <f>D2013+D2015</f>
        <v>60240.40824</v>
      </c>
      <c r="E2024" s="157">
        <f>E2013+E2015</f>
        <v>69464.372132</v>
      </c>
      <c r="F2024" s="157">
        <f>F2013+F2015</f>
        <v>59522.13787358</v>
      </c>
    </row>
    <row r="2025" spans="1:6" ht="21.75">
      <c r="A2025" s="159" t="s">
        <v>18</v>
      </c>
      <c r="B2025" s="167">
        <f t="shared" si="34"/>
        <v>0</v>
      </c>
      <c r="C2025" s="12"/>
      <c r="D2025" s="12"/>
      <c r="E2025" s="12"/>
      <c r="F2025" s="12"/>
    </row>
    <row r="2026" spans="1:6" ht="12.75">
      <c r="A2026" s="153" t="s">
        <v>23</v>
      </c>
      <c r="B2026" s="167">
        <f t="shared" si="34"/>
        <v>92348.074114</v>
      </c>
      <c r="C2026" s="165">
        <f>5.3352*C2007</f>
        <v>20091.402864000003</v>
      </c>
      <c r="D2026" s="12">
        <f>6.1735*C2007</f>
        <v>23248.28977</v>
      </c>
      <c r="E2026" s="12">
        <f>6.4099*E2007</f>
        <v>24138.529618000004</v>
      </c>
      <c r="F2026" s="12">
        <f>6.6041*F2007</f>
        <v>24869.851862</v>
      </c>
    </row>
    <row r="2027" spans="1:6" ht="12.75">
      <c r="A2027" s="153" t="s">
        <v>63</v>
      </c>
      <c r="B2027" s="167">
        <f t="shared" si="34"/>
        <v>0</v>
      </c>
      <c r="C2027" s="12"/>
      <c r="D2027" s="12"/>
      <c r="E2027" s="12"/>
      <c r="F2027" s="12"/>
    </row>
    <row r="2028" spans="1:6" ht="12.75">
      <c r="A2028" s="153" t="s">
        <v>62</v>
      </c>
      <c r="B2028" s="167">
        <f t="shared" si="34"/>
        <v>0</v>
      </c>
      <c r="C2028" s="12"/>
      <c r="D2028" s="12"/>
      <c r="E2028" s="12"/>
      <c r="F2028" s="12"/>
    </row>
    <row r="2029" spans="1:6" ht="12.75">
      <c r="A2029" s="153" t="s">
        <v>30</v>
      </c>
      <c r="B2029" s="167">
        <f t="shared" si="34"/>
        <v>8532.2</v>
      </c>
      <c r="C2029" s="12"/>
      <c r="D2029" s="12">
        <v>1082</v>
      </c>
      <c r="E2029" s="12">
        <v>6510.2</v>
      </c>
      <c r="F2029" s="12">
        <v>940</v>
      </c>
    </row>
    <row r="2030" spans="1:6" ht="12.75">
      <c r="A2030" s="153" t="s">
        <v>28</v>
      </c>
      <c r="B2030" s="167">
        <f t="shared" si="34"/>
        <v>1392.8</v>
      </c>
      <c r="C2030" s="12"/>
      <c r="D2030" s="12"/>
      <c r="E2030" s="12">
        <v>1392.8</v>
      </c>
      <c r="F2030" s="12"/>
    </row>
    <row r="2031" spans="1:6" ht="12.75">
      <c r="A2031" s="153" t="s">
        <v>41</v>
      </c>
      <c r="B2031" s="167">
        <f t="shared" si="34"/>
        <v>0</v>
      </c>
      <c r="C2031" s="12"/>
      <c r="D2031" s="12"/>
      <c r="E2031" s="12"/>
      <c r="F2031" s="12"/>
    </row>
    <row r="2032" spans="1:6" ht="12.75">
      <c r="A2032" s="153" t="s">
        <v>50</v>
      </c>
      <c r="B2032" s="167">
        <f t="shared" si="34"/>
        <v>1614</v>
      </c>
      <c r="C2032" s="12">
        <v>410</v>
      </c>
      <c r="D2032" s="12"/>
      <c r="E2032" s="12"/>
      <c r="F2032" s="12">
        <v>1204</v>
      </c>
    </row>
    <row r="2033" spans="1:6" ht="12.75">
      <c r="A2033" s="153" t="s">
        <v>52</v>
      </c>
      <c r="B2033" s="167">
        <f t="shared" si="34"/>
        <v>0</v>
      </c>
      <c r="C2033" s="12"/>
      <c r="D2033" s="12"/>
      <c r="E2033" s="12"/>
      <c r="F2033" s="12"/>
    </row>
    <row r="2034" spans="1:6" ht="22.5">
      <c r="A2034" s="153" t="s">
        <v>225</v>
      </c>
      <c r="B2034" s="167">
        <f t="shared" si="34"/>
        <v>539.74</v>
      </c>
      <c r="C2034" s="12">
        <v>539.74</v>
      </c>
      <c r="D2034" s="12"/>
      <c r="E2034" s="12"/>
      <c r="F2034" s="12"/>
    </row>
    <row r="2035" spans="1:6" ht="12.75">
      <c r="A2035" s="153" t="s">
        <v>152</v>
      </c>
      <c r="B2035" s="167">
        <f t="shared" si="34"/>
        <v>0</v>
      </c>
      <c r="C2035" s="12"/>
      <c r="D2035" s="12"/>
      <c r="E2035" s="12"/>
      <c r="F2035" s="12"/>
    </row>
    <row r="2036" spans="1:6" ht="12.75">
      <c r="A2036" s="153" t="s">
        <v>497</v>
      </c>
      <c r="B2036" s="167">
        <f t="shared" si="34"/>
        <v>0</v>
      </c>
      <c r="C2036" s="12"/>
      <c r="D2036" s="12"/>
      <c r="E2036" s="12"/>
      <c r="F2036" s="30">
        <v>0</v>
      </c>
    </row>
    <row r="2037" spans="1:6" ht="12.75">
      <c r="A2037" s="153" t="s">
        <v>47</v>
      </c>
      <c r="B2037" s="167">
        <f t="shared" si="34"/>
        <v>0</v>
      </c>
      <c r="C2037" s="12"/>
      <c r="D2037" s="12"/>
      <c r="E2037" s="12"/>
      <c r="F2037" s="12"/>
    </row>
    <row r="2038" spans="1:6" ht="12.75">
      <c r="A2038" s="153" t="s">
        <v>287</v>
      </c>
      <c r="B2038" s="167">
        <f t="shared" si="34"/>
        <v>26290</v>
      </c>
      <c r="C2038" s="12">
        <v>5500</v>
      </c>
      <c r="D2038" s="12">
        <v>20790</v>
      </c>
      <c r="E2038" s="12"/>
      <c r="F2038" s="12"/>
    </row>
    <row r="2039" spans="1:6" ht="12.75">
      <c r="A2039" s="153" t="s">
        <v>418</v>
      </c>
      <c r="B2039" s="167">
        <f t="shared" si="34"/>
        <v>152</v>
      </c>
      <c r="C2039" s="12"/>
      <c r="D2039" s="12"/>
      <c r="E2039" s="12">
        <v>152</v>
      </c>
      <c r="F2039" s="12"/>
    </row>
    <row r="2040" spans="1:6" ht="12.75">
      <c r="A2040" s="153" t="s">
        <v>568</v>
      </c>
      <c r="B2040" s="167">
        <f t="shared" si="34"/>
        <v>5034</v>
      </c>
      <c r="C2040" s="12"/>
      <c r="D2040" s="12"/>
      <c r="E2040" s="12"/>
      <c r="F2040" s="12">
        <v>5034</v>
      </c>
    </row>
    <row r="2041" spans="1:6" ht="12.75">
      <c r="A2041" s="153" t="s">
        <v>117</v>
      </c>
      <c r="B2041" s="167">
        <f t="shared" si="34"/>
        <v>125</v>
      </c>
      <c r="C2041" s="12"/>
      <c r="D2041" s="12"/>
      <c r="E2041" s="12">
        <v>125</v>
      </c>
      <c r="F2041" s="12"/>
    </row>
    <row r="2042" spans="1:6" ht="22.5">
      <c r="A2042" s="153" t="s">
        <v>419</v>
      </c>
      <c r="B2042" s="167">
        <f t="shared" si="34"/>
        <v>10593</v>
      </c>
      <c r="C2042" s="12"/>
      <c r="D2042" s="12"/>
      <c r="E2042" s="12">
        <v>10593</v>
      </c>
      <c r="F2042" s="12"/>
    </row>
    <row r="2043" spans="1:6" ht="12.75">
      <c r="A2043" s="153" t="s">
        <v>232</v>
      </c>
      <c r="B2043" s="167">
        <f t="shared" si="34"/>
        <v>6</v>
      </c>
      <c r="C2043" s="12">
        <v>6</v>
      </c>
      <c r="D2043" s="12"/>
      <c r="E2043" s="12"/>
      <c r="F2043" s="12"/>
    </row>
    <row r="2044" spans="1:6" ht="12.75">
      <c r="A2044" s="153" t="s">
        <v>453</v>
      </c>
      <c r="B2044" s="167">
        <f t="shared" si="34"/>
        <v>947</v>
      </c>
      <c r="C2044" s="12"/>
      <c r="D2044" s="12"/>
      <c r="E2044" s="12"/>
      <c r="F2044" s="12">
        <v>947</v>
      </c>
    </row>
    <row r="2045" spans="1:6" ht="12.75">
      <c r="A2045" s="153" t="s">
        <v>142</v>
      </c>
      <c r="B2045" s="167">
        <f t="shared" si="34"/>
        <v>0</v>
      </c>
      <c r="C2045" s="12"/>
      <c r="D2045" s="12"/>
      <c r="E2045" s="12"/>
      <c r="F2045" s="12">
        <v>0</v>
      </c>
    </row>
    <row r="2046" spans="1:6" ht="12.75">
      <c r="A2046" s="155" t="s">
        <v>11</v>
      </c>
      <c r="B2046" s="166">
        <f t="shared" si="34"/>
        <v>147573.814114</v>
      </c>
      <c r="C2046" s="157">
        <f>C2026+C2027+C2028+C2029+C2030+C2031+C2032+C2033+C2034+C2035+C2036+C2037+C2038+C2039+C2040+C2041+C2042+C2043+C2044</f>
        <v>26547.142864000005</v>
      </c>
      <c r="D2046" s="157">
        <f>SUM(D2026:D2044)</f>
        <v>45120.28977</v>
      </c>
      <c r="E2046" s="157">
        <f>SUM(E2026:E2045)</f>
        <v>42911.529618</v>
      </c>
      <c r="F2046" s="157">
        <f>SUM(F2026:F2045)</f>
        <v>32994.851861999996</v>
      </c>
    </row>
    <row r="2047" spans="1:6" ht="12.75">
      <c r="A2047" s="155" t="s">
        <v>19</v>
      </c>
      <c r="B2047" s="167">
        <f t="shared" si="34"/>
        <v>0</v>
      </c>
      <c r="C2047" s="12"/>
      <c r="D2047" s="12"/>
      <c r="E2047" s="12"/>
      <c r="F2047" s="12"/>
    </row>
    <row r="2048" spans="1:6" ht="12.75">
      <c r="A2048" s="153" t="s">
        <v>38</v>
      </c>
      <c r="B2048" s="167">
        <f t="shared" si="34"/>
        <v>3165.6725640600002</v>
      </c>
      <c r="C2048" s="12">
        <f>0.218666*C2007</f>
        <v>823.45679612</v>
      </c>
      <c r="D2048" s="12">
        <f>0.210458*C2007</f>
        <v>792.54694556</v>
      </c>
      <c r="E2048" s="12">
        <f>0.167241*E2007</f>
        <v>629.79950262</v>
      </c>
      <c r="F2048" s="12">
        <f>0.244268*F2007</f>
        <v>919.86931976</v>
      </c>
    </row>
    <row r="2049" spans="1:6" ht="12.75">
      <c r="A2049" s="153" t="s">
        <v>39</v>
      </c>
      <c r="B2049" s="167">
        <f t="shared" si="34"/>
        <v>6277.31690858</v>
      </c>
      <c r="C2049" s="12">
        <f>0.306583*C2007</f>
        <v>1154.5363930600001</v>
      </c>
      <c r="D2049" s="12">
        <f>0.0733554*C2007</f>
        <v>276.243232428</v>
      </c>
      <c r="E2049" s="12">
        <f>0.536065*E2007</f>
        <v>2018.7242983</v>
      </c>
      <c r="F2049" s="12">
        <f>0.7509156*F2007</f>
        <v>2827.8129847920004</v>
      </c>
    </row>
    <row r="2050" spans="1:6" ht="12.75">
      <c r="A2050" s="153" t="s">
        <v>32</v>
      </c>
      <c r="B2050" s="167">
        <f t="shared" si="34"/>
        <v>0</v>
      </c>
      <c r="C2050" s="12"/>
      <c r="D2050" s="12"/>
      <c r="E2050" s="12"/>
      <c r="F2050" s="12"/>
    </row>
    <row r="2051" spans="1:6" ht="12.75">
      <c r="A2051" s="153" t="s">
        <v>37</v>
      </c>
      <c r="B2051" s="167">
        <f t="shared" si="34"/>
        <v>8109.899736936</v>
      </c>
      <c r="C2051" s="12">
        <f>0.70476*C2007</f>
        <v>2653.9993032</v>
      </c>
      <c r="D2051" s="12">
        <f>0.3731258*C2007</f>
        <v>1405.124600156</v>
      </c>
      <c r="E2051" s="12">
        <f>0.553205*E2007</f>
        <v>2083.2704531</v>
      </c>
      <c r="F2051" s="12">
        <f>0.522464*F2007</f>
        <v>1967.5053804800002</v>
      </c>
    </row>
    <row r="2052" spans="1:6" ht="12.75">
      <c r="A2052" s="153" t="s">
        <v>20</v>
      </c>
      <c r="B2052" s="167">
        <f t="shared" si="34"/>
        <v>2998.82790896</v>
      </c>
      <c r="C2052" s="12"/>
      <c r="D2052" s="12">
        <f>0.158142*C2007</f>
        <v>595.53430644</v>
      </c>
      <c r="E2052" s="12">
        <f>0.60489*E2007</f>
        <v>2277.9068598000003</v>
      </c>
      <c r="F2052" s="12">
        <f>0.033296*F2007</f>
        <v>125.38674272</v>
      </c>
    </row>
    <row r="2053" spans="1:6" ht="12.75">
      <c r="A2053" s="156" t="s">
        <v>11</v>
      </c>
      <c r="B2053" s="166">
        <f t="shared" si="34"/>
        <v>20551.717118536002</v>
      </c>
      <c r="C2053" s="157">
        <f>C2048+C2049+C2050+C2051+C2052</f>
        <v>4631.992492380001</v>
      </c>
      <c r="D2053" s="157">
        <f>SUM(D2048:D2052)</f>
        <v>3069.449084584</v>
      </c>
      <c r="E2053" s="157">
        <f>SUM(E2048:E2052)</f>
        <v>7009.7011138200005</v>
      </c>
      <c r="F2053" s="157">
        <f>SUM(F2048:F2052)</f>
        <v>5840.574427752001</v>
      </c>
    </row>
    <row r="2054" spans="1:6" ht="12.75">
      <c r="A2054" s="153" t="s">
        <v>101</v>
      </c>
      <c r="B2054" s="167">
        <f t="shared" si="34"/>
        <v>2457.7066915200003</v>
      </c>
      <c r="C2054" s="157">
        <f>0.0644*C2007</f>
        <v>242.518808</v>
      </c>
      <c r="D2054" s="12">
        <v>209</v>
      </c>
      <c r="E2054" s="12">
        <f>0.10264*E2007</f>
        <v>386.5237648</v>
      </c>
      <c r="F2054" s="12">
        <f>0.430096*F2007</f>
        <v>1619.66411872</v>
      </c>
    </row>
    <row r="2055" spans="1:6" ht="33.75">
      <c r="A2055" s="161" t="s">
        <v>21</v>
      </c>
      <c r="B2055" s="166">
        <f t="shared" si="34"/>
        <v>415308.90555883595</v>
      </c>
      <c r="C2055" s="157">
        <f>C2024+C2046+C2053+C2054</f>
        <v>87306.92731838</v>
      </c>
      <c r="D2055" s="157">
        <f>D2024+D2046+D2053+D2054</f>
        <v>108639.147094584</v>
      </c>
      <c r="E2055" s="157">
        <f>E2024+E2046+E2053</f>
        <v>119385.60286382001</v>
      </c>
      <c r="F2055" s="157">
        <f>F2024+F2046+F2053+F2054</f>
        <v>99977.22828205199</v>
      </c>
    </row>
    <row r="2056" spans="1:6" ht="45">
      <c r="A2056" s="161" t="s">
        <v>22</v>
      </c>
      <c r="B2056" s="162">
        <f>B2055/12/C2007</f>
        <v>9.190315910807296</v>
      </c>
      <c r="C2056" s="14">
        <f>C2055/C2007/3</f>
        <v>7.728013847216984</v>
      </c>
      <c r="D2056" s="14">
        <f>D2055/3/C2007</f>
        <v>9.616245341393904</v>
      </c>
      <c r="E2056" s="14">
        <f>E2055/3/C2007</f>
        <v>10.56747294204361</v>
      </c>
      <c r="F2056" s="14">
        <f>F2055/3/C2007</f>
        <v>8.849531512574684</v>
      </c>
    </row>
    <row r="2057" spans="1:6" ht="12.75">
      <c r="A2057" s="163" t="s">
        <v>34</v>
      </c>
      <c r="B2057" s="154">
        <f>B2011-B2055</f>
        <v>-11167.035558835953</v>
      </c>
      <c r="C2057" s="165">
        <f>C2011-C2055</f>
        <v>11952.762681620006</v>
      </c>
      <c r="D2057" s="165">
        <f>D2011-D2055+C2057</f>
        <v>7641.265587036003</v>
      </c>
      <c r="E2057" s="12">
        <f>E2011-E2055+D2057</f>
        <v>-16052.037276784002</v>
      </c>
      <c r="F2057" s="12">
        <f>F2011-F2055-16052</f>
        <v>-11166.998282051994</v>
      </c>
    </row>
    <row r="2058" spans="1:6" ht="12.75">
      <c r="A2058" s="29" t="s">
        <v>44</v>
      </c>
      <c r="B2058" s="29"/>
      <c r="C2058" s="29"/>
      <c r="D2058" s="29"/>
      <c r="E2058" s="29"/>
      <c r="F2058" s="29"/>
    </row>
    <row r="2059" spans="1:6" ht="12.75">
      <c r="A2059" s="29" t="s">
        <v>579</v>
      </c>
      <c r="B2059" s="29"/>
      <c r="C2059" s="29"/>
      <c r="D2059" s="29"/>
      <c r="E2059" s="29"/>
      <c r="F2059" s="29"/>
    </row>
    <row r="2060" spans="1:6" ht="12.75">
      <c r="A2060" s="29" t="s">
        <v>45</v>
      </c>
      <c r="B2060" s="29"/>
      <c r="C2060" s="29"/>
      <c r="D2060" s="29"/>
      <c r="E2060" s="29"/>
      <c r="F2060" s="29"/>
    </row>
    <row r="2061" spans="1:6" ht="12.75">
      <c r="A2061" s="29"/>
      <c r="B2061" s="29"/>
      <c r="C2061" s="29"/>
      <c r="D2061" s="29"/>
      <c r="E2061" s="29"/>
      <c r="F2061" s="29"/>
    </row>
    <row r="2062" spans="1:6" ht="285.75" customHeight="1">
      <c r="A2062" s="29"/>
      <c r="B2062" s="29"/>
      <c r="C2062" s="29"/>
      <c r="D2062" s="29"/>
      <c r="E2062" s="29"/>
      <c r="F2062" s="29"/>
    </row>
    <row r="2063" spans="1:6" ht="12.75">
      <c r="A2063" s="120" t="s">
        <v>35</v>
      </c>
      <c r="B2063" s="120"/>
      <c r="C2063" s="29"/>
      <c r="D2063" s="29"/>
      <c r="E2063" s="29"/>
      <c r="F2063" s="29"/>
    </row>
    <row r="2064" spans="1:6" ht="12.75">
      <c r="A2064" s="29" t="s">
        <v>616</v>
      </c>
      <c r="B2064" s="29"/>
      <c r="C2064" s="29"/>
      <c r="D2064" s="29"/>
      <c r="E2064" s="29"/>
      <c r="F2064" s="29"/>
    </row>
    <row r="2065" spans="1:6" ht="12.75">
      <c r="A2065" s="29" t="s">
        <v>224</v>
      </c>
      <c r="B2065" s="29"/>
      <c r="C2065" s="29"/>
      <c r="D2065" s="29"/>
      <c r="E2065" s="29"/>
      <c r="F2065" s="29"/>
    </row>
    <row r="2066" spans="1:6" ht="12.75">
      <c r="A2066" s="29" t="s">
        <v>70</v>
      </c>
      <c r="B2066" s="29"/>
      <c r="C2066" s="29"/>
      <c r="D2066" s="29"/>
      <c r="E2066" s="29" t="s">
        <v>340</v>
      </c>
      <c r="F2066" s="29"/>
    </row>
    <row r="2067" spans="1:6" ht="12.75">
      <c r="A2067" s="10" t="s">
        <v>1</v>
      </c>
      <c r="B2067" s="10" t="s">
        <v>11</v>
      </c>
      <c r="C2067" s="10" t="s">
        <v>86</v>
      </c>
      <c r="D2067" s="10" t="s">
        <v>87</v>
      </c>
      <c r="E2067" s="10" t="s">
        <v>120</v>
      </c>
      <c r="F2067" s="10" t="s">
        <v>141</v>
      </c>
    </row>
    <row r="2068" spans="1:6" ht="12.75">
      <c r="A2068" s="22" t="s">
        <v>6</v>
      </c>
      <c r="B2068" s="22"/>
      <c r="C2068" s="10"/>
      <c r="D2068" s="5"/>
      <c r="E2068" s="5"/>
      <c r="F2068" s="5"/>
    </row>
    <row r="2069" spans="1:6" ht="12.75">
      <c r="A2069" s="5" t="s">
        <v>2</v>
      </c>
      <c r="B2069" s="5"/>
      <c r="C2069" s="10">
        <v>5</v>
      </c>
      <c r="D2069" s="5"/>
      <c r="E2069" s="5"/>
      <c r="F2069" s="5"/>
    </row>
    <row r="2070" spans="1:6" ht="12.75">
      <c r="A2070" s="5" t="s">
        <v>3</v>
      </c>
      <c r="B2070" s="5"/>
      <c r="C2070" s="10">
        <v>4</v>
      </c>
      <c r="D2070" s="5"/>
      <c r="E2070" s="5"/>
      <c r="F2070" s="5"/>
    </row>
    <row r="2071" spans="1:6" ht="12.75">
      <c r="A2071" s="5" t="s">
        <v>4</v>
      </c>
      <c r="B2071" s="5"/>
      <c r="C2071" s="10">
        <v>80</v>
      </c>
      <c r="D2071" s="5"/>
      <c r="E2071" s="5"/>
      <c r="F2071" s="5"/>
    </row>
    <row r="2072" spans="1:6" ht="12.75">
      <c r="A2072" s="5" t="s">
        <v>5</v>
      </c>
      <c r="B2072" s="10">
        <v>3805.6</v>
      </c>
      <c r="C2072" s="10">
        <v>3805.6</v>
      </c>
      <c r="D2072" s="10">
        <v>3805.6</v>
      </c>
      <c r="E2072" s="10">
        <v>3805.6</v>
      </c>
      <c r="F2072" s="10">
        <v>3805.6</v>
      </c>
    </row>
    <row r="2073" spans="1:6" ht="22.5">
      <c r="A2073" s="150" t="s">
        <v>7</v>
      </c>
      <c r="B2073" s="150"/>
      <c r="C2073" s="5" t="s">
        <v>36</v>
      </c>
      <c r="D2073" s="5"/>
      <c r="E2073" s="5"/>
      <c r="F2073" s="5"/>
    </row>
    <row r="2074" spans="1:6" ht="22.5">
      <c r="A2074" s="151" t="s">
        <v>8</v>
      </c>
      <c r="B2074" s="6">
        <f>C2074+D2074+E2074+F2074</f>
        <v>428680.85000000003</v>
      </c>
      <c r="C2074" s="10">
        <v>87677.09</v>
      </c>
      <c r="D2074" s="10">
        <v>91505.79</v>
      </c>
      <c r="E2074" s="5">
        <v>115796.53</v>
      </c>
      <c r="F2074" s="10">
        <v>133701.44</v>
      </c>
    </row>
    <row r="2075" spans="1:6" ht="22.5">
      <c r="A2075" s="153" t="s">
        <v>9</v>
      </c>
      <c r="B2075" s="6">
        <f>C2075+D2075+E2075+F2075</f>
        <v>0</v>
      </c>
      <c r="C2075" s="10"/>
      <c r="D2075" s="10"/>
      <c r="E2075" s="5"/>
      <c r="F2075" s="10"/>
    </row>
    <row r="2076" spans="1:6" ht="12.75">
      <c r="A2076" s="5" t="s">
        <v>11</v>
      </c>
      <c r="B2076" s="150">
        <f>C2076+D2076+E2076+F2076</f>
        <v>428680.85000000003</v>
      </c>
      <c r="C2076" s="22">
        <f>C2074+C2075</f>
        <v>87677.09</v>
      </c>
      <c r="D2076" s="22">
        <f>SUM(D2074:D2075)</f>
        <v>91505.79</v>
      </c>
      <c r="E2076" s="155">
        <f>SUM(E2074:E2075)</f>
        <v>115796.53</v>
      </c>
      <c r="F2076" s="22">
        <f>SUM(F2074:F2075)</f>
        <v>133701.44</v>
      </c>
    </row>
    <row r="2077" spans="1:6" ht="22.5">
      <c r="A2077" s="150" t="s">
        <v>12</v>
      </c>
      <c r="B2077" s="150"/>
      <c r="C2077" s="5"/>
      <c r="D2077" s="5"/>
      <c r="E2077" s="5"/>
      <c r="F2077" s="5"/>
    </row>
    <row r="2078" spans="1:7" ht="12.75">
      <c r="A2078" s="156" t="s">
        <v>13</v>
      </c>
      <c r="B2078" s="166">
        <f>C2078+D2078+E2078+F2078</f>
        <v>118919.9740264</v>
      </c>
      <c r="C2078" s="157">
        <f>7.5947*C2072</f>
        <v>28902.39032</v>
      </c>
      <c r="D2078" s="157">
        <v>27795</v>
      </c>
      <c r="E2078" s="157">
        <f>8.5526*E2072</f>
        <v>32547.774559999998</v>
      </c>
      <c r="F2078" s="157">
        <f>7.797669*F2072</f>
        <v>29674.8091464</v>
      </c>
      <c r="G2078" s="8"/>
    </row>
    <row r="2079" spans="1:6" ht="21.75">
      <c r="A2079" s="156" t="s">
        <v>14</v>
      </c>
      <c r="B2079" s="167">
        <f aca="true" t="shared" si="35" ref="B2079:B2120">C2079+D2079+E2079+F2079</f>
        <v>0</v>
      </c>
      <c r="C2079" s="12"/>
      <c r="D2079" s="12"/>
      <c r="E2079" s="12"/>
      <c r="F2079" s="12"/>
    </row>
    <row r="2080" spans="1:6" ht="12.75">
      <c r="A2080" s="153" t="s">
        <v>15</v>
      </c>
      <c r="B2080" s="167">
        <f t="shared" si="35"/>
        <v>142241.83000000002</v>
      </c>
      <c r="C2080" s="12">
        <f>C2081+C2083</f>
        <v>28991.61</v>
      </c>
      <c r="D2080" s="12">
        <f>D2081+D2083+D2084+D2085+D2086+D2087+D2088</f>
        <v>39513.39</v>
      </c>
      <c r="E2080" s="12">
        <f>E2081+E2083+E2084+E2085+E2086+E2087+E2088</f>
        <v>41798</v>
      </c>
      <c r="F2080" s="12">
        <f>F2081+F2083+F2084+F2085+F2086+F2087+F2088</f>
        <v>31938.83</v>
      </c>
    </row>
    <row r="2081" spans="1:6" ht="12.75">
      <c r="A2081" s="158" t="s">
        <v>16</v>
      </c>
      <c r="B2081" s="167">
        <f t="shared" si="35"/>
        <v>122042</v>
      </c>
      <c r="C2081" s="165">
        <v>28757</v>
      </c>
      <c r="D2081" s="12">
        <v>27356</v>
      </c>
      <c r="E2081" s="12">
        <v>34739</v>
      </c>
      <c r="F2081" s="12">
        <v>31190</v>
      </c>
    </row>
    <row r="2082" spans="1:6" ht="12.75">
      <c r="A2082" s="153" t="s">
        <v>33</v>
      </c>
      <c r="B2082" s="167">
        <f t="shared" si="35"/>
        <v>77497</v>
      </c>
      <c r="C2082" s="165">
        <v>16261</v>
      </c>
      <c r="D2082" s="12">
        <v>18040</v>
      </c>
      <c r="E2082" s="12">
        <v>21598</v>
      </c>
      <c r="F2082" s="12">
        <v>21598</v>
      </c>
    </row>
    <row r="2083" spans="1:6" ht="12.75">
      <c r="A2083" s="153" t="s">
        <v>24</v>
      </c>
      <c r="B2083" s="167">
        <f t="shared" si="35"/>
        <v>2242.83</v>
      </c>
      <c r="C2083" s="12">
        <v>234.61</v>
      </c>
      <c r="D2083" s="12">
        <v>566.39</v>
      </c>
      <c r="E2083" s="12">
        <v>693</v>
      </c>
      <c r="F2083" s="12">
        <v>748.83</v>
      </c>
    </row>
    <row r="2084" spans="1:6" ht="12.75">
      <c r="A2084" s="153" t="s">
        <v>17</v>
      </c>
      <c r="B2084" s="167">
        <f t="shared" si="35"/>
        <v>0</v>
      </c>
      <c r="C2084" s="12"/>
      <c r="D2084" s="12"/>
      <c r="E2084" s="12"/>
      <c r="F2084" s="12"/>
    </row>
    <row r="2085" spans="1:6" ht="12.75">
      <c r="A2085" s="153" t="s">
        <v>277</v>
      </c>
      <c r="B2085" s="167">
        <f t="shared" si="35"/>
        <v>3360</v>
      </c>
      <c r="C2085" s="12"/>
      <c r="D2085" s="12">
        <v>3360</v>
      </c>
      <c r="E2085" s="12"/>
      <c r="F2085" s="12"/>
    </row>
    <row r="2086" spans="1:6" ht="12.75">
      <c r="A2086" s="153" t="s">
        <v>65</v>
      </c>
      <c r="B2086" s="167">
        <f t="shared" si="35"/>
        <v>0</v>
      </c>
      <c r="C2086" s="12"/>
      <c r="D2086" s="12"/>
      <c r="E2086" s="12"/>
      <c r="F2086" s="12"/>
    </row>
    <row r="2087" spans="1:6" ht="12.75">
      <c r="A2087" s="153" t="s">
        <v>420</v>
      </c>
      <c r="B2087" s="167">
        <f t="shared" si="35"/>
        <v>9683</v>
      </c>
      <c r="C2087" s="12"/>
      <c r="D2087" s="12">
        <v>3317</v>
      </c>
      <c r="E2087" s="12">
        <v>6366</v>
      </c>
      <c r="F2087" s="12"/>
    </row>
    <row r="2088" spans="1:6" ht="12.75">
      <c r="A2088" s="153" t="s">
        <v>106</v>
      </c>
      <c r="B2088" s="167">
        <f t="shared" si="35"/>
        <v>4914</v>
      </c>
      <c r="C2088" s="12"/>
      <c r="D2088" s="12">
        <v>4914</v>
      </c>
      <c r="E2088" s="12"/>
      <c r="F2088" s="12"/>
    </row>
    <row r="2089" spans="1:6" ht="12.75">
      <c r="A2089" s="155" t="s">
        <v>11</v>
      </c>
      <c r="B2089" s="166">
        <f t="shared" si="35"/>
        <v>261161.8040264</v>
      </c>
      <c r="C2089" s="157">
        <f>C2078+C2080</f>
        <v>57894.00032</v>
      </c>
      <c r="D2089" s="157">
        <f>D2078+D2080</f>
        <v>67308.39</v>
      </c>
      <c r="E2089" s="157">
        <f>E2078+E2080</f>
        <v>74345.77455999999</v>
      </c>
      <c r="F2089" s="157">
        <f>F2080+F2078</f>
        <v>61613.639146400004</v>
      </c>
    </row>
    <row r="2090" spans="1:6" ht="21.75">
      <c r="A2090" s="159" t="s">
        <v>18</v>
      </c>
      <c r="B2090" s="167">
        <f t="shared" si="35"/>
        <v>0</v>
      </c>
      <c r="C2090" s="12"/>
      <c r="D2090" s="12"/>
      <c r="E2090" s="12"/>
      <c r="F2090" s="12"/>
    </row>
    <row r="2091" spans="1:6" ht="12.75">
      <c r="A2091" s="153" t="s">
        <v>23</v>
      </c>
      <c r="B2091" s="167">
        <f t="shared" si="35"/>
        <v>93323.58712</v>
      </c>
      <c r="C2091" s="165">
        <f>5.3352*C2072</f>
        <v>20303.63712</v>
      </c>
      <c r="D2091" s="12">
        <f>6.1735*C2072</f>
        <v>23493.8716</v>
      </c>
      <c r="E2091" s="12">
        <f>6.4099*E2072</f>
        <v>24393.51544</v>
      </c>
      <c r="F2091" s="12">
        <f>6.6041*F2072</f>
        <v>25132.56296</v>
      </c>
    </row>
    <row r="2092" spans="1:6" ht="12.75">
      <c r="A2092" s="153" t="s">
        <v>517</v>
      </c>
      <c r="B2092" s="167">
        <f t="shared" si="35"/>
        <v>2236</v>
      </c>
      <c r="C2092" s="12"/>
      <c r="D2092" s="12"/>
      <c r="E2092" s="12"/>
      <c r="F2092" s="12">
        <v>2236</v>
      </c>
    </row>
    <row r="2093" spans="1:6" ht="12.75">
      <c r="A2093" s="153" t="s">
        <v>289</v>
      </c>
      <c r="B2093" s="167">
        <f t="shared" si="35"/>
        <v>14966</v>
      </c>
      <c r="C2093" s="12"/>
      <c r="D2093" s="12">
        <v>11500</v>
      </c>
      <c r="E2093" s="12">
        <v>3466</v>
      </c>
      <c r="F2093" s="12"/>
    </row>
    <row r="2094" spans="1:6" ht="12.75">
      <c r="A2094" s="153" t="s">
        <v>421</v>
      </c>
      <c r="B2094" s="167">
        <f t="shared" si="35"/>
        <v>106041.45999999999</v>
      </c>
      <c r="C2094" s="12">
        <v>16953.46</v>
      </c>
      <c r="D2094" s="12">
        <v>29318</v>
      </c>
      <c r="E2094" s="12">
        <v>43617</v>
      </c>
      <c r="F2094" s="12">
        <v>16153</v>
      </c>
    </row>
    <row r="2095" spans="1:6" ht="12.75">
      <c r="A2095" s="153" t="s">
        <v>28</v>
      </c>
      <c r="B2095" s="167">
        <f t="shared" si="35"/>
        <v>12726</v>
      </c>
      <c r="C2095" s="12">
        <v>1226</v>
      </c>
      <c r="D2095" s="12">
        <v>895</v>
      </c>
      <c r="E2095" s="12">
        <v>10605</v>
      </c>
      <c r="F2095" s="12"/>
    </row>
    <row r="2096" spans="1:6" ht="12.75">
      <c r="A2096" s="153" t="s">
        <v>41</v>
      </c>
      <c r="B2096" s="167">
        <f t="shared" si="35"/>
        <v>16236.5</v>
      </c>
      <c r="C2096" s="12"/>
      <c r="D2096" s="12">
        <v>1555</v>
      </c>
      <c r="E2096" s="12">
        <v>12399</v>
      </c>
      <c r="F2096" s="12">
        <v>2282.5</v>
      </c>
    </row>
    <row r="2097" spans="1:6" ht="12.75">
      <c r="A2097" s="153" t="s">
        <v>50</v>
      </c>
      <c r="B2097" s="167">
        <f t="shared" si="35"/>
        <v>31752</v>
      </c>
      <c r="C2097" s="12">
        <v>3255</v>
      </c>
      <c r="D2097" s="12">
        <v>5175</v>
      </c>
      <c r="E2097" s="12">
        <v>1237</v>
      </c>
      <c r="F2097" s="12">
        <v>22085</v>
      </c>
    </row>
    <row r="2098" spans="1:6" ht="12.75">
      <c r="A2098" s="153" t="s">
        <v>52</v>
      </c>
      <c r="B2098" s="167">
        <f t="shared" si="35"/>
        <v>0</v>
      </c>
      <c r="C2098" s="12"/>
      <c r="D2098" s="12"/>
      <c r="E2098" s="12"/>
      <c r="F2098" s="12"/>
    </row>
    <row r="2099" spans="1:6" ht="22.5">
      <c r="A2099" s="153" t="s">
        <v>225</v>
      </c>
      <c r="B2099" s="167">
        <f t="shared" si="35"/>
        <v>545.44</v>
      </c>
      <c r="C2099" s="12">
        <v>545.44</v>
      </c>
      <c r="D2099" s="12"/>
      <c r="E2099" s="12"/>
      <c r="F2099" s="12"/>
    </row>
    <row r="2100" spans="1:6" ht="12.75">
      <c r="A2100" s="153" t="s">
        <v>294</v>
      </c>
      <c r="B2100" s="167">
        <f t="shared" si="35"/>
        <v>1345</v>
      </c>
      <c r="C2100" s="12"/>
      <c r="D2100" s="12">
        <v>1345</v>
      </c>
      <c r="E2100" s="12"/>
      <c r="F2100" s="12"/>
    </row>
    <row r="2101" spans="1:6" ht="12.75">
      <c r="A2101" s="153" t="s">
        <v>290</v>
      </c>
      <c r="B2101" s="167">
        <f t="shared" si="35"/>
        <v>4000</v>
      </c>
      <c r="C2101" s="12"/>
      <c r="D2101" s="12">
        <v>4000</v>
      </c>
      <c r="E2101" s="12"/>
      <c r="F2101" s="12"/>
    </row>
    <row r="2102" spans="1:6" ht="12.75">
      <c r="A2102" s="153" t="s">
        <v>47</v>
      </c>
      <c r="B2102" s="167">
        <f t="shared" si="35"/>
        <v>2212</v>
      </c>
      <c r="C2102" s="12"/>
      <c r="D2102" s="12"/>
      <c r="E2102" s="12">
        <v>2002</v>
      </c>
      <c r="F2102" s="12">
        <v>210</v>
      </c>
    </row>
    <row r="2103" spans="1:6" ht="12.75">
      <c r="A2103" s="153" t="s">
        <v>291</v>
      </c>
      <c r="B2103" s="167">
        <f t="shared" si="35"/>
        <v>340</v>
      </c>
      <c r="C2103" s="12"/>
      <c r="D2103" s="12">
        <v>340</v>
      </c>
      <c r="E2103" s="12"/>
      <c r="F2103" s="12"/>
    </row>
    <row r="2104" spans="1:6" ht="12.75">
      <c r="A2104" s="153" t="s">
        <v>515</v>
      </c>
      <c r="B2104" s="167">
        <f t="shared" si="35"/>
        <v>900</v>
      </c>
      <c r="C2104" s="12"/>
      <c r="D2104" s="12"/>
      <c r="E2104" s="12"/>
      <c r="F2104" s="12">
        <v>900</v>
      </c>
    </row>
    <row r="2105" spans="1:6" ht="12.75">
      <c r="A2105" s="153" t="s">
        <v>516</v>
      </c>
      <c r="B2105" s="167">
        <f t="shared" si="35"/>
        <v>429.25</v>
      </c>
      <c r="C2105" s="12"/>
      <c r="D2105" s="12">
        <v>258</v>
      </c>
      <c r="E2105" s="12"/>
      <c r="F2105" s="12">
        <v>171.25</v>
      </c>
    </row>
    <row r="2106" spans="1:6" ht="12.75">
      <c r="A2106" s="153" t="s">
        <v>293</v>
      </c>
      <c r="B2106" s="167">
        <f t="shared" si="35"/>
        <v>36</v>
      </c>
      <c r="C2106" s="12"/>
      <c r="D2106" s="12">
        <v>36</v>
      </c>
      <c r="E2106" s="12"/>
      <c r="F2106" s="12"/>
    </row>
    <row r="2107" spans="1:6" ht="12.75">
      <c r="A2107" s="153" t="s">
        <v>292</v>
      </c>
      <c r="B2107" s="167">
        <f t="shared" si="35"/>
        <v>587</v>
      </c>
      <c r="C2107" s="12"/>
      <c r="D2107" s="12">
        <v>360</v>
      </c>
      <c r="E2107" s="12">
        <v>152</v>
      </c>
      <c r="F2107" s="12">
        <v>75</v>
      </c>
    </row>
    <row r="2108" spans="1:6" ht="12.75">
      <c r="A2108" s="153" t="s">
        <v>232</v>
      </c>
      <c r="B2108" s="167">
        <f t="shared" si="35"/>
        <v>0</v>
      </c>
      <c r="C2108" s="12">
        <v>0</v>
      </c>
      <c r="D2108" s="12"/>
      <c r="E2108" s="12"/>
      <c r="F2108" s="12"/>
    </row>
    <row r="2109" spans="1:6" ht="12.75">
      <c r="A2109" s="153" t="s">
        <v>453</v>
      </c>
      <c r="B2109" s="167">
        <f t="shared" si="35"/>
        <v>957</v>
      </c>
      <c r="C2109" s="12"/>
      <c r="D2109" s="12"/>
      <c r="E2109" s="12"/>
      <c r="F2109" s="12">
        <v>957</v>
      </c>
    </row>
    <row r="2110" spans="1:6" ht="12.75">
      <c r="A2110" s="153" t="s">
        <v>497</v>
      </c>
      <c r="B2110" s="167"/>
      <c r="C2110" s="12"/>
      <c r="D2110" s="12"/>
      <c r="E2110" s="12"/>
      <c r="F2110" s="30">
        <v>0</v>
      </c>
    </row>
    <row r="2111" spans="1:6" ht="12.75">
      <c r="A2111" s="155" t="s">
        <v>11</v>
      </c>
      <c r="B2111" s="166">
        <f t="shared" si="35"/>
        <v>288633.23712</v>
      </c>
      <c r="C2111" s="157">
        <f>C2091+C2092+C2093+C2094+C2095+C2096+C2097+C2098+C2099+C2100+C2101+C2102+C2103+C2104+C2105+C2106+C2107+C2108+C2109</f>
        <v>42283.53712</v>
      </c>
      <c r="D2111" s="157">
        <f>SUM(D2091:D2109)</f>
        <v>78275.8716</v>
      </c>
      <c r="E2111" s="157">
        <f>SUM(E2091:E2109)</f>
        <v>97871.51544</v>
      </c>
      <c r="F2111" s="157">
        <f>SUM(F2091:F2110)</f>
        <v>70202.31296</v>
      </c>
    </row>
    <row r="2112" spans="1:6" ht="12.75">
      <c r="A2112" s="155" t="s">
        <v>19</v>
      </c>
      <c r="B2112" s="167">
        <f t="shared" si="35"/>
        <v>0</v>
      </c>
      <c r="C2112" s="12"/>
      <c r="D2112" s="12"/>
      <c r="E2112" s="12"/>
      <c r="F2112" s="12"/>
    </row>
    <row r="2113" spans="1:6" ht="12.75">
      <c r="A2113" s="153" t="s">
        <v>38</v>
      </c>
      <c r="B2113" s="167">
        <f t="shared" si="35"/>
        <v>3199.1129447999997</v>
      </c>
      <c r="C2113" s="12">
        <f>0.218666*C2072</f>
        <v>832.1553296</v>
      </c>
      <c r="D2113" s="12">
        <f>0.210458*C2072</f>
        <v>800.9189648</v>
      </c>
      <c r="E2113" s="12">
        <f>0.167241*E2072</f>
        <v>636.4523495999999</v>
      </c>
      <c r="F2113" s="12">
        <f>0.244268*F2072</f>
        <v>929.5863008</v>
      </c>
    </row>
    <row r="2114" spans="1:6" ht="12.75">
      <c r="A2114" s="153" t="s">
        <v>39</v>
      </c>
      <c r="B2114" s="167">
        <f t="shared" si="35"/>
        <v>6343.6269464</v>
      </c>
      <c r="C2114" s="12">
        <f>0.306583*C2072</f>
        <v>1166.7322648</v>
      </c>
      <c r="D2114" s="12">
        <f>0.0733554*C2072</f>
        <v>279.16131024</v>
      </c>
      <c r="E2114" s="12">
        <f>0.536065*E2072</f>
        <v>2040.048964</v>
      </c>
      <c r="F2114" s="12">
        <f>0.7509156*F2072</f>
        <v>2857.68440736</v>
      </c>
    </row>
    <row r="2115" spans="1:6" ht="12.75">
      <c r="A2115" s="153" t="s">
        <v>32</v>
      </c>
      <c r="B2115" s="167">
        <f t="shared" si="35"/>
        <v>0</v>
      </c>
      <c r="C2115" s="12"/>
      <c r="D2115" s="12"/>
      <c r="E2115" s="12"/>
      <c r="F2115" s="12"/>
    </row>
    <row r="2116" spans="1:6" ht="12.75">
      <c r="A2116" s="153" t="s">
        <v>37</v>
      </c>
      <c r="B2116" s="167">
        <f t="shared" si="35"/>
        <v>8195.56814688</v>
      </c>
      <c r="C2116" s="12">
        <f>0.70476*C2072</f>
        <v>2682.0346560000003</v>
      </c>
      <c r="D2116" s="12">
        <f>0.3731258*C2072</f>
        <v>1419.96754448</v>
      </c>
      <c r="E2116" s="12">
        <f>0.553205*E2072</f>
        <v>2105.2769479999997</v>
      </c>
      <c r="F2116" s="12">
        <f>0.522464*F2072</f>
        <v>1988.2889984</v>
      </c>
    </row>
    <row r="2117" spans="1:6" ht="12.75">
      <c r="A2117" s="153" t="s">
        <v>20</v>
      </c>
      <c r="B2117" s="167">
        <f t="shared" si="35"/>
        <v>3030.5058368</v>
      </c>
      <c r="C2117" s="12"/>
      <c r="D2117" s="12">
        <f>0.158142*C2072</f>
        <v>601.8251952</v>
      </c>
      <c r="E2117" s="12">
        <f>0.60489*E2072</f>
        <v>2301.969384</v>
      </c>
      <c r="F2117" s="12">
        <f>0.033296*F2072</f>
        <v>126.7112576</v>
      </c>
    </row>
    <row r="2118" spans="1:6" ht="12.75">
      <c r="A2118" s="156" t="s">
        <v>11</v>
      </c>
      <c r="B2118" s="166">
        <f t="shared" si="35"/>
        <v>20768.81387488</v>
      </c>
      <c r="C2118" s="157">
        <f>C2113+C2114+C2115+C2116+C2117</f>
        <v>4680.9222504</v>
      </c>
      <c r="D2118" s="157">
        <f>SUM(D2113:D2117)</f>
        <v>3101.8730147200004</v>
      </c>
      <c r="E2118" s="157">
        <f>SUM(E2113:E2117)</f>
        <v>7083.7476455999995</v>
      </c>
      <c r="F2118" s="157">
        <f>SUM(F2113:F2117)</f>
        <v>5902.27096416</v>
      </c>
    </row>
    <row r="2119" spans="1:6" ht="12.75">
      <c r="A2119" s="153" t="s">
        <v>101</v>
      </c>
      <c r="B2119" s="167">
        <f t="shared" si="35"/>
        <v>2483.4607616</v>
      </c>
      <c r="C2119" s="157">
        <f>0.0644*C2072</f>
        <v>245.08064</v>
      </c>
      <c r="D2119" s="157">
        <v>211</v>
      </c>
      <c r="E2119" s="12">
        <f>0.10264*E2072</f>
        <v>390.60678399999995</v>
      </c>
      <c r="F2119" s="12">
        <f>0.430096*F2072</f>
        <v>1636.7733375999999</v>
      </c>
    </row>
    <row r="2120" spans="1:6" ht="33.75">
      <c r="A2120" s="161" t="s">
        <v>21</v>
      </c>
      <c r="B2120" s="166">
        <f t="shared" si="35"/>
        <v>572656.70899888</v>
      </c>
      <c r="C2120" s="157">
        <f>C2089+C2111+C2118+C2119</f>
        <v>105103.5403304</v>
      </c>
      <c r="D2120" s="157">
        <f>D2089+D2111+D2118+D2119</f>
        <v>148897.13461472</v>
      </c>
      <c r="E2120" s="157">
        <f>E2089+E2111+E2118</f>
        <v>179301.03764559998</v>
      </c>
      <c r="F2120" s="157">
        <f>F2089+F2111+F2118+F2119</f>
        <v>139354.99640816</v>
      </c>
    </row>
    <row r="2121" spans="1:6" ht="45">
      <c r="A2121" s="161" t="s">
        <v>22</v>
      </c>
      <c r="B2121" s="162">
        <f>B2120/12/C2072</f>
        <v>12.539781484279308</v>
      </c>
      <c r="C2121" s="14">
        <f>C2120/C2072/3</f>
        <v>9.206042002172238</v>
      </c>
      <c r="D2121" s="14">
        <f>D2120/3/C2072</f>
        <v>13.04193246923131</v>
      </c>
      <c r="E2121" s="14">
        <f>E2120/3/C2072</f>
        <v>15.705016961460302</v>
      </c>
      <c r="F2121" s="14">
        <f>F2120/3/C2072</f>
        <v>12.20613450425338</v>
      </c>
    </row>
    <row r="2122" spans="1:6" ht="12.75">
      <c r="A2122" s="163" t="s">
        <v>34</v>
      </c>
      <c r="B2122" s="154">
        <f>B2076-B2120</f>
        <v>-143975.85899887996</v>
      </c>
      <c r="C2122" s="165">
        <f>C2076-C2120</f>
        <v>-17426.45033040001</v>
      </c>
      <c r="D2122" s="12">
        <f>D2076-D2120-17460</f>
        <v>-74851.34461472002</v>
      </c>
      <c r="E2122" s="12">
        <f>E2076-E2120-74851</f>
        <v>-138355.50764559998</v>
      </c>
      <c r="F2122" s="12">
        <f>F2076-F2120-138356</f>
        <v>-144009.55640816</v>
      </c>
    </row>
    <row r="2123" spans="1:6" ht="12.75">
      <c r="A2123" s="29" t="s">
        <v>44</v>
      </c>
      <c r="B2123" s="29"/>
      <c r="C2123" s="29"/>
      <c r="D2123" s="29"/>
      <c r="E2123" s="29"/>
      <c r="F2123" s="29"/>
    </row>
    <row r="2124" spans="1:6" ht="12.75">
      <c r="A2124" s="29" t="s">
        <v>579</v>
      </c>
      <c r="B2124" s="29"/>
      <c r="C2124" s="29"/>
      <c r="D2124" s="29"/>
      <c r="E2124" s="29"/>
      <c r="F2124" s="29"/>
    </row>
    <row r="2125" spans="1:6" ht="12.75">
      <c r="A2125" s="29" t="s">
        <v>45</v>
      </c>
      <c r="B2125" s="29"/>
      <c r="C2125" s="29"/>
      <c r="D2125" s="29"/>
      <c r="E2125" s="29"/>
      <c r="F2125" s="29"/>
    </row>
    <row r="2126" spans="1:6" ht="12.75">
      <c r="A2126" s="29"/>
      <c r="B2126" s="29"/>
      <c r="C2126" s="29"/>
      <c r="D2126" s="29"/>
      <c r="E2126" s="29"/>
      <c r="F2126" s="29"/>
    </row>
    <row r="2127" spans="1:6" ht="290.25" customHeight="1">
      <c r="A2127" s="29"/>
      <c r="B2127" s="29"/>
      <c r="C2127" s="29"/>
      <c r="D2127" s="29"/>
      <c r="E2127" s="29"/>
      <c r="F2127" s="29"/>
    </row>
    <row r="2128" spans="1:6" ht="12.75">
      <c r="A2128" s="120" t="s">
        <v>35</v>
      </c>
      <c r="B2128" s="120"/>
      <c r="C2128" s="29"/>
      <c r="D2128" s="29"/>
      <c r="E2128" s="29"/>
      <c r="F2128" s="29"/>
    </row>
    <row r="2129" spans="1:6" ht="12.75">
      <c r="A2129" s="29" t="s">
        <v>616</v>
      </c>
      <c r="B2129" s="29"/>
      <c r="C2129" s="29"/>
      <c r="D2129" s="29"/>
      <c r="E2129" s="29"/>
      <c r="F2129" s="29"/>
    </row>
    <row r="2130" spans="1:6" ht="12.75">
      <c r="A2130" s="29" t="s">
        <v>224</v>
      </c>
      <c r="B2130" s="29"/>
      <c r="C2130" s="29"/>
      <c r="D2130" s="29"/>
      <c r="E2130" s="29"/>
      <c r="F2130" s="29"/>
    </row>
    <row r="2131" spans="1:6" ht="12.75">
      <c r="A2131" s="29" t="s">
        <v>71</v>
      </c>
      <c r="B2131" s="29"/>
      <c r="C2131" s="29"/>
      <c r="D2131" s="29"/>
      <c r="E2131" s="29" t="s">
        <v>340</v>
      </c>
      <c r="F2131" s="29"/>
    </row>
    <row r="2132" spans="1:6" ht="12.75">
      <c r="A2132" s="10" t="s">
        <v>1</v>
      </c>
      <c r="B2132" s="10" t="s">
        <v>11</v>
      </c>
      <c r="C2132" s="10" t="s">
        <v>86</v>
      </c>
      <c r="D2132" s="10" t="s">
        <v>87</v>
      </c>
      <c r="E2132" s="10" t="s">
        <v>120</v>
      </c>
      <c r="F2132" s="10" t="s">
        <v>141</v>
      </c>
    </row>
    <row r="2133" spans="1:6" ht="12.75">
      <c r="A2133" s="22" t="s">
        <v>6</v>
      </c>
      <c r="B2133" s="22"/>
      <c r="C2133" s="10"/>
      <c r="D2133" s="5"/>
      <c r="E2133" s="5"/>
      <c r="F2133" s="5"/>
    </row>
    <row r="2134" spans="1:6" ht="12.75">
      <c r="A2134" s="5" t="s">
        <v>2</v>
      </c>
      <c r="B2134" s="5"/>
      <c r="C2134" s="10">
        <v>5</v>
      </c>
      <c r="D2134" s="5"/>
      <c r="E2134" s="5"/>
      <c r="F2134" s="5"/>
    </row>
    <row r="2135" spans="1:6" ht="12.75">
      <c r="A2135" s="5" t="s">
        <v>3</v>
      </c>
      <c r="B2135" s="5"/>
      <c r="C2135" s="10">
        <v>4</v>
      </c>
      <c r="D2135" s="5"/>
      <c r="E2135" s="5"/>
      <c r="F2135" s="5"/>
    </row>
    <row r="2136" spans="1:6" ht="12.75">
      <c r="A2136" s="5" t="s">
        <v>4</v>
      </c>
      <c r="B2136" s="5"/>
      <c r="C2136" s="10">
        <v>80</v>
      </c>
      <c r="D2136" s="5"/>
      <c r="E2136" s="5"/>
      <c r="F2136" s="5"/>
    </row>
    <row r="2137" spans="1:6" ht="12.75">
      <c r="A2137" s="5" t="s">
        <v>5</v>
      </c>
      <c r="B2137" s="10">
        <v>3812.15</v>
      </c>
      <c r="C2137" s="10">
        <v>3812.15</v>
      </c>
      <c r="D2137" s="10">
        <v>3812.15</v>
      </c>
      <c r="E2137" s="10">
        <v>3812.15</v>
      </c>
      <c r="F2137" s="10">
        <v>3812.15</v>
      </c>
    </row>
    <row r="2138" spans="1:6" ht="22.5">
      <c r="A2138" s="150" t="s">
        <v>7</v>
      </c>
      <c r="B2138" s="150"/>
      <c r="C2138" s="5" t="s">
        <v>36</v>
      </c>
      <c r="D2138" s="5"/>
      <c r="E2138" s="5"/>
      <c r="F2138" s="5"/>
    </row>
    <row r="2139" spans="1:6" ht="22.5">
      <c r="A2139" s="151" t="s">
        <v>8</v>
      </c>
      <c r="B2139" s="152">
        <f>C2139+D2139+E2139+F2139</f>
        <v>436645.27999999997</v>
      </c>
      <c r="C2139" s="10">
        <v>89043.52</v>
      </c>
      <c r="D2139" s="13">
        <v>106942.92</v>
      </c>
      <c r="E2139" s="13">
        <v>132329.53</v>
      </c>
      <c r="F2139" s="10">
        <v>108329.31</v>
      </c>
    </row>
    <row r="2140" spans="1:6" ht="22.5">
      <c r="A2140" s="153" t="s">
        <v>9</v>
      </c>
      <c r="B2140" s="152">
        <f>C2140+D2140+E2140+F2140</f>
        <v>0</v>
      </c>
      <c r="C2140" s="10">
        <v>0</v>
      </c>
      <c r="D2140" s="10">
        <v>0</v>
      </c>
      <c r="E2140" s="13">
        <v>0</v>
      </c>
      <c r="F2140" s="10">
        <v>0</v>
      </c>
    </row>
    <row r="2141" spans="1:6" ht="12.75">
      <c r="A2141" s="5" t="s">
        <v>11</v>
      </c>
      <c r="B2141" s="169">
        <f>C2141+D2141+E2141+F2141</f>
        <v>436645.27999999997</v>
      </c>
      <c r="C2141" s="22">
        <f>C2139+C2140</f>
        <v>89043.52</v>
      </c>
      <c r="D2141" s="179">
        <f>SUM(D2139:D2140)</f>
        <v>106942.92</v>
      </c>
      <c r="E2141" s="179">
        <f>SUM(E2139:E2140)</f>
        <v>132329.53</v>
      </c>
      <c r="F2141" s="22">
        <f>SUM(F2139:F2140)</f>
        <v>108329.31</v>
      </c>
    </row>
    <row r="2142" spans="1:6" ht="22.5">
      <c r="A2142" s="150" t="s">
        <v>12</v>
      </c>
      <c r="B2142" s="150"/>
      <c r="C2142" s="5"/>
      <c r="D2142" s="5"/>
      <c r="E2142" s="5"/>
      <c r="F2142" s="5"/>
    </row>
    <row r="2143" spans="1:7" ht="12.75">
      <c r="A2143" s="156" t="s">
        <v>13</v>
      </c>
      <c r="B2143" s="166">
        <f>C2143+D2143+E2143+F2143</f>
        <v>120376.14237335</v>
      </c>
      <c r="C2143" s="157">
        <f>7.5947*C2137</f>
        <v>28952.135605</v>
      </c>
      <c r="D2143" s="157">
        <f>7.632*C2137</f>
        <v>29094.3288</v>
      </c>
      <c r="E2143" s="157">
        <f>8.5526*E2137</f>
        <v>32603.79409</v>
      </c>
      <c r="F2143" s="157">
        <f>7.797669*F2137</f>
        <v>29725.88387835</v>
      </c>
      <c r="G2143" s="8"/>
    </row>
    <row r="2144" spans="1:6" ht="21.75">
      <c r="A2144" s="156" t="s">
        <v>14</v>
      </c>
      <c r="B2144" s="167">
        <f aca="true" t="shared" si="36" ref="B2144:B2186">C2144+D2144+E2144+F2144</f>
        <v>0</v>
      </c>
      <c r="C2144" s="12"/>
      <c r="D2144" s="12"/>
      <c r="E2144" s="12"/>
      <c r="F2144" s="12"/>
    </row>
    <row r="2145" spans="1:6" ht="12.75">
      <c r="A2145" s="153" t="s">
        <v>15</v>
      </c>
      <c r="B2145" s="167">
        <f t="shared" si="36"/>
        <v>146166.72999999998</v>
      </c>
      <c r="C2145" s="12">
        <f>C2146+C2148</f>
        <v>31111.87</v>
      </c>
      <c r="D2145" s="12">
        <f>D2146+D2148+D2149+D2150+D2151+D2152+D2153</f>
        <v>39646</v>
      </c>
      <c r="E2145" s="12">
        <f>E2146+E2148+E2149+E2150+E2151+E2152+E2153</f>
        <v>43034</v>
      </c>
      <c r="F2145" s="12">
        <f>F2146+F2148+F2149+F2150+F2151+F2152+F2153</f>
        <v>32374.86</v>
      </c>
    </row>
    <row r="2146" spans="1:6" ht="12.75">
      <c r="A2146" s="158" t="s">
        <v>16</v>
      </c>
      <c r="B2146" s="167">
        <f t="shared" si="36"/>
        <v>126593</v>
      </c>
      <c r="C2146" s="165">
        <v>30877</v>
      </c>
      <c r="D2146" s="12">
        <v>28911</v>
      </c>
      <c r="E2146" s="12">
        <f>35180</f>
        <v>35180</v>
      </c>
      <c r="F2146" s="12">
        <v>31625</v>
      </c>
    </row>
    <row r="2147" spans="1:6" ht="12.75">
      <c r="A2147" s="153" t="s">
        <v>33</v>
      </c>
      <c r="B2147" s="167">
        <f t="shared" si="36"/>
        <v>81973</v>
      </c>
      <c r="C2147" s="165">
        <v>18360</v>
      </c>
      <c r="D2147" s="12">
        <v>19579</v>
      </c>
      <c r="E2147" s="12">
        <v>22017</v>
      </c>
      <c r="F2147" s="12">
        <v>22017</v>
      </c>
    </row>
    <row r="2148" spans="1:6" ht="12.75">
      <c r="A2148" s="153" t="s">
        <v>24</v>
      </c>
      <c r="B2148" s="167">
        <f t="shared" si="36"/>
        <v>2246.73</v>
      </c>
      <c r="C2148" s="12">
        <v>234.87</v>
      </c>
      <c r="D2148" s="12">
        <v>567</v>
      </c>
      <c r="E2148" s="12">
        <v>695</v>
      </c>
      <c r="F2148" s="12">
        <v>749.86</v>
      </c>
    </row>
    <row r="2149" spans="1:6" ht="12.75">
      <c r="A2149" s="153" t="s">
        <v>17</v>
      </c>
      <c r="B2149" s="167">
        <f t="shared" si="36"/>
        <v>0</v>
      </c>
      <c r="C2149" s="12"/>
      <c r="D2149" s="12"/>
      <c r="E2149" s="12"/>
      <c r="F2149" s="12"/>
    </row>
    <row r="2150" spans="1:6" ht="12.75">
      <c r="A2150" s="153" t="s">
        <v>277</v>
      </c>
      <c r="B2150" s="167">
        <f t="shared" si="36"/>
        <v>1485</v>
      </c>
      <c r="C2150" s="12"/>
      <c r="D2150" s="12">
        <v>1485</v>
      </c>
      <c r="E2150" s="12"/>
      <c r="F2150" s="12"/>
    </row>
    <row r="2151" spans="1:6" ht="12.75">
      <c r="A2151" s="153" t="s">
        <v>65</v>
      </c>
      <c r="B2151" s="167">
        <f t="shared" si="36"/>
        <v>0</v>
      </c>
      <c r="C2151" s="12"/>
      <c r="D2151" s="12"/>
      <c r="E2151" s="12"/>
      <c r="F2151" s="12"/>
    </row>
    <row r="2152" spans="1:6" ht="12.75">
      <c r="A2152" s="153" t="s">
        <v>422</v>
      </c>
      <c r="B2152" s="167">
        <f t="shared" si="36"/>
        <v>11158</v>
      </c>
      <c r="C2152" s="12"/>
      <c r="D2152" s="12">
        <v>3999</v>
      </c>
      <c r="E2152" s="12">
        <v>7159</v>
      </c>
      <c r="F2152" s="12"/>
    </row>
    <row r="2153" spans="1:6" ht="12.75">
      <c r="A2153" s="153" t="s">
        <v>106</v>
      </c>
      <c r="B2153" s="167">
        <f t="shared" si="36"/>
        <v>4684</v>
      </c>
      <c r="C2153" s="12"/>
      <c r="D2153" s="12">
        <v>4684</v>
      </c>
      <c r="E2153" s="12"/>
      <c r="F2153" s="12"/>
    </row>
    <row r="2154" spans="1:6" ht="12.75">
      <c r="A2154" s="155" t="s">
        <v>11</v>
      </c>
      <c r="B2154" s="166">
        <f t="shared" si="36"/>
        <v>266542.87237335</v>
      </c>
      <c r="C2154" s="157">
        <f>C2143+C2145</f>
        <v>60064.005605</v>
      </c>
      <c r="D2154" s="157">
        <f>D2143+D2145</f>
        <v>68740.3288</v>
      </c>
      <c r="E2154" s="157">
        <f>E2143+E2145</f>
        <v>75637.79409</v>
      </c>
      <c r="F2154" s="157">
        <f>F2143+F2145</f>
        <v>62100.74387835</v>
      </c>
    </row>
    <row r="2155" spans="1:6" ht="21.75">
      <c r="A2155" s="159" t="s">
        <v>18</v>
      </c>
      <c r="B2155" s="167">
        <f t="shared" si="36"/>
        <v>0</v>
      </c>
      <c r="C2155" s="12"/>
      <c r="D2155" s="12"/>
      <c r="E2155" s="12"/>
      <c r="F2155" s="12"/>
    </row>
    <row r="2156" spans="1:6" ht="12.75">
      <c r="A2156" s="153" t="s">
        <v>23</v>
      </c>
      <c r="B2156" s="167">
        <f t="shared" si="36"/>
        <v>93484.210805</v>
      </c>
      <c r="C2156" s="165">
        <f>5.3352*C2137</f>
        <v>20338.582680000003</v>
      </c>
      <c r="D2156" s="12">
        <f>6.1735*C2137</f>
        <v>23534.308025</v>
      </c>
      <c r="E2156" s="12">
        <f>6.4099*E2137</f>
        <v>24435.500285000002</v>
      </c>
      <c r="F2156" s="12">
        <f>6.6041*F2137</f>
        <v>25175.819815</v>
      </c>
    </row>
    <row r="2157" spans="1:6" ht="12.75">
      <c r="A2157" s="153" t="s">
        <v>295</v>
      </c>
      <c r="B2157" s="167">
        <f t="shared" si="36"/>
        <v>19166</v>
      </c>
      <c r="C2157" s="12"/>
      <c r="D2157" s="12">
        <v>19036</v>
      </c>
      <c r="E2157" s="12"/>
      <c r="F2157" s="12">
        <v>130</v>
      </c>
    </row>
    <row r="2158" spans="1:6" ht="12.75">
      <c r="A2158" s="153" t="s">
        <v>423</v>
      </c>
      <c r="B2158" s="167">
        <f t="shared" si="36"/>
        <v>21000</v>
      </c>
      <c r="C2158" s="12"/>
      <c r="D2158" s="12">
        <v>12000</v>
      </c>
      <c r="E2158" s="12">
        <v>9000</v>
      </c>
      <c r="F2158" s="12"/>
    </row>
    <row r="2159" spans="1:6" ht="12.75">
      <c r="A2159" s="153" t="s">
        <v>424</v>
      </c>
      <c r="B2159" s="167">
        <f t="shared" si="36"/>
        <v>96719</v>
      </c>
      <c r="C2159" s="12">
        <v>5890</v>
      </c>
      <c r="D2159" s="12">
        <v>32831</v>
      </c>
      <c r="E2159" s="12">
        <v>38465</v>
      </c>
      <c r="F2159" s="12">
        <v>19533</v>
      </c>
    </row>
    <row r="2160" spans="1:6" ht="12.75">
      <c r="A2160" s="153" t="s">
        <v>28</v>
      </c>
      <c r="B2160" s="167">
        <f t="shared" si="36"/>
        <v>19473.3</v>
      </c>
      <c r="C2160" s="12">
        <v>1285</v>
      </c>
      <c r="D2160" s="12">
        <v>4663.3</v>
      </c>
      <c r="E2160" s="12">
        <v>6459</v>
      </c>
      <c r="F2160" s="12">
        <v>7066</v>
      </c>
    </row>
    <row r="2161" spans="1:6" ht="12.75">
      <c r="A2161" s="153" t="s">
        <v>41</v>
      </c>
      <c r="B2161" s="167">
        <f t="shared" si="36"/>
        <v>6057.5</v>
      </c>
      <c r="C2161" s="12">
        <v>1701</v>
      </c>
      <c r="D2161" s="12">
        <v>1261</v>
      </c>
      <c r="E2161" s="12">
        <v>2965.5</v>
      </c>
      <c r="F2161" s="12">
        <v>130</v>
      </c>
    </row>
    <row r="2162" spans="1:6" ht="12.75">
      <c r="A2162" s="153" t="s">
        <v>50</v>
      </c>
      <c r="B2162" s="167">
        <f t="shared" si="36"/>
        <v>10230</v>
      </c>
      <c r="C2162" s="12">
        <v>3758</v>
      </c>
      <c r="D2162" s="12"/>
      <c r="E2162" s="12">
        <v>1981</v>
      </c>
      <c r="F2162" s="12">
        <v>4491</v>
      </c>
    </row>
    <row r="2163" spans="1:6" ht="12.75">
      <c r="A2163" s="153" t="s">
        <v>52</v>
      </c>
      <c r="B2163" s="167">
        <f t="shared" si="36"/>
        <v>0</v>
      </c>
      <c r="C2163" s="12"/>
      <c r="D2163" s="12"/>
      <c r="E2163" s="12"/>
      <c r="F2163" s="12"/>
    </row>
    <row r="2164" spans="1:6" ht="22.5">
      <c r="A2164" s="153" t="s">
        <v>225</v>
      </c>
      <c r="B2164" s="167">
        <f t="shared" si="36"/>
        <v>546.5</v>
      </c>
      <c r="C2164" s="12">
        <v>546.5</v>
      </c>
      <c r="D2164" s="12"/>
      <c r="E2164" s="12"/>
      <c r="F2164" s="12"/>
    </row>
    <row r="2165" spans="1:6" ht="12.75">
      <c r="A2165" s="153" t="s">
        <v>297</v>
      </c>
      <c r="B2165" s="167">
        <f t="shared" si="36"/>
        <v>27</v>
      </c>
      <c r="C2165" s="12"/>
      <c r="D2165" s="12">
        <v>27</v>
      </c>
      <c r="E2165" s="12"/>
      <c r="F2165" s="12"/>
    </row>
    <row r="2166" spans="1:6" ht="12.75">
      <c r="A2166" s="153" t="s">
        <v>296</v>
      </c>
      <c r="B2166" s="167">
        <f t="shared" si="36"/>
        <v>3000</v>
      </c>
      <c r="C2166" s="12"/>
      <c r="D2166" s="12">
        <v>3000</v>
      </c>
      <c r="E2166" s="12"/>
      <c r="F2166" s="12"/>
    </row>
    <row r="2167" spans="1:6" ht="12.75">
      <c r="A2167" s="153" t="s">
        <v>47</v>
      </c>
      <c r="B2167" s="167">
        <f t="shared" si="36"/>
        <v>3009</v>
      </c>
      <c r="C2167" s="12"/>
      <c r="D2167" s="12">
        <v>1169</v>
      </c>
      <c r="E2167" s="12">
        <v>1150</v>
      </c>
      <c r="F2167" s="12">
        <v>690</v>
      </c>
    </row>
    <row r="2168" spans="1:6" ht="12.75">
      <c r="A2168" s="153" t="s">
        <v>291</v>
      </c>
      <c r="B2168" s="167">
        <f t="shared" si="36"/>
        <v>340</v>
      </c>
      <c r="C2168" s="12"/>
      <c r="D2168" s="12">
        <v>340</v>
      </c>
      <c r="E2168" s="12"/>
      <c r="F2168" s="12"/>
    </row>
    <row r="2169" spans="1:6" ht="12.75">
      <c r="A2169" s="153" t="s">
        <v>425</v>
      </c>
      <c r="B2169" s="167">
        <f t="shared" si="36"/>
        <v>1631</v>
      </c>
      <c r="C2169" s="12"/>
      <c r="D2169" s="12"/>
      <c r="E2169" s="12">
        <v>1631</v>
      </c>
      <c r="F2169" s="12"/>
    </row>
    <row r="2170" spans="1:6" ht="12.75">
      <c r="A2170" s="153" t="s">
        <v>453</v>
      </c>
      <c r="B2170" s="167">
        <f t="shared" si="36"/>
        <v>958</v>
      </c>
      <c r="C2170" s="12"/>
      <c r="D2170" s="12"/>
      <c r="E2170" s="12"/>
      <c r="F2170" s="12">
        <v>958</v>
      </c>
    </row>
    <row r="2171" spans="1:6" ht="12.75">
      <c r="A2171" s="153" t="s">
        <v>518</v>
      </c>
      <c r="B2171" s="167">
        <f t="shared" si="36"/>
        <v>41.25</v>
      </c>
      <c r="C2171" s="12"/>
      <c r="D2171" s="12"/>
      <c r="E2171" s="12"/>
      <c r="F2171" s="12">
        <v>41.25</v>
      </c>
    </row>
    <row r="2172" spans="1:6" ht="12.75">
      <c r="A2172" s="153" t="s">
        <v>294</v>
      </c>
      <c r="B2172" s="167">
        <f t="shared" si="36"/>
        <v>2570</v>
      </c>
      <c r="C2172" s="12"/>
      <c r="D2172" s="12">
        <v>2570</v>
      </c>
      <c r="E2172" s="12"/>
      <c r="F2172" s="12"/>
    </row>
    <row r="2173" spans="1:6" ht="12.75">
      <c r="A2173" s="153" t="s">
        <v>292</v>
      </c>
      <c r="B2173" s="167">
        <f t="shared" si="36"/>
        <v>480</v>
      </c>
      <c r="C2173" s="12"/>
      <c r="D2173" s="12">
        <v>480</v>
      </c>
      <c r="E2173" s="12"/>
      <c r="F2173" s="12"/>
    </row>
    <row r="2174" spans="1:6" ht="12.75">
      <c r="A2174" s="153" t="s">
        <v>497</v>
      </c>
      <c r="B2174" s="167">
        <f t="shared" si="36"/>
        <v>0</v>
      </c>
      <c r="C2174" s="12"/>
      <c r="D2174" s="12"/>
      <c r="E2174" s="12"/>
      <c r="F2174" s="12">
        <v>0</v>
      </c>
    </row>
    <row r="2175" spans="1:6" ht="12.75">
      <c r="A2175" s="153" t="s">
        <v>232</v>
      </c>
      <c r="B2175" s="167">
        <f t="shared" si="36"/>
        <v>66</v>
      </c>
      <c r="C2175" s="12">
        <v>66</v>
      </c>
      <c r="D2175" s="12"/>
      <c r="E2175" s="12"/>
      <c r="F2175" s="12"/>
    </row>
    <row r="2176" spans="1:6" ht="12.75">
      <c r="A2176" s="155" t="s">
        <v>11</v>
      </c>
      <c r="B2176" s="166">
        <f t="shared" si="36"/>
        <v>278798.760805</v>
      </c>
      <c r="C2176" s="157">
        <f>C2156+C2157+C2158+C2159+C2160+C2161+C2162+C2163+C2164+C2165+C2166+C2167+C2168+C2169+C2170+C2171+C2172+C2173+C2175</f>
        <v>33585.08268000001</v>
      </c>
      <c r="D2176" s="157">
        <f>SUM(D2156:D2175)</f>
        <v>100911.60802500001</v>
      </c>
      <c r="E2176" s="157">
        <f>SUM(E2156:E2175)</f>
        <v>86087.000285</v>
      </c>
      <c r="F2176" s="157">
        <f>SUM(F2156:F2175)</f>
        <v>58215.069814999995</v>
      </c>
    </row>
    <row r="2177" spans="1:6" ht="12.75">
      <c r="A2177" s="155" t="s">
        <v>19</v>
      </c>
      <c r="B2177" s="167">
        <f t="shared" si="36"/>
        <v>0</v>
      </c>
      <c r="C2177" s="12"/>
      <c r="D2177" s="12"/>
      <c r="E2177" s="12"/>
      <c r="F2177" s="12"/>
    </row>
    <row r="2178" spans="1:6" ht="12.75">
      <c r="A2178" s="153" t="s">
        <v>38</v>
      </c>
      <c r="B2178" s="167">
        <f t="shared" si="36"/>
        <v>3204.61909095</v>
      </c>
      <c r="C2178" s="12">
        <f>0.218666*C2137</f>
        <v>833.5875919</v>
      </c>
      <c r="D2178" s="12">
        <f>0.210458*C2137</f>
        <v>802.2974647000001</v>
      </c>
      <c r="E2178" s="12">
        <f>0.167241*E2137</f>
        <v>637.54777815</v>
      </c>
      <c r="F2178" s="12">
        <f>0.244268*F2137</f>
        <v>931.1862562000001</v>
      </c>
    </row>
    <row r="2179" spans="1:6" ht="12.75">
      <c r="A2179" s="153" t="s">
        <v>39</v>
      </c>
      <c r="B2179" s="167">
        <f t="shared" si="36"/>
        <v>6354.54526585</v>
      </c>
      <c r="C2179" s="12">
        <f>0.306583*C2137</f>
        <v>1168.74038345</v>
      </c>
      <c r="D2179" s="12">
        <f>0.0733554*C2137</f>
        <v>279.64178811</v>
      </c>
      <c r="E2179" s="12">
        <f>0.536065*E2137</f>
        <v>2043.56018975</v>
      </c>
      <c r="F2179" s="12">
        <f>0.7509156*F2137</f>
        <v>2862.60290454</v>
      </c>
    </row>
    <row r="2180" spans="1:6" ht="12.75">
      <c r="A2180" s="153" t="s">
        <v>32</v>
      </c>
      <c r="B2180" s="167">
        <f t="shared" si="36"/>
        <v>0</v>
      </c>
      <c r="C2180" s="12"/>
      <c r="D2180" s="12"/>
      <c r="E2180" s="12"/>
      <c r="F2180" s="12"/>
    </row>
    <row r="2181" spans="1:6" ht="12.75">
      <c r="A2181" s="153" t="s">
        <v>37</v>
      </c>
      <c r="B2181" s="167">
        <f t="shared" si="36"/>
        <v>8209.673930820001</v>
      </c>
      <c r="C2181" s="12">
        <f>0.70476*C2137</f>
        <v>2686.6508340000005</v>
      </c>
      <c r="D2181" s="12">
        <f>0.3731258*C2137</f>
        <v>1422.4115184700001</v>
      </c>
      <c r="E2181" s="12">
        <f>0.553205*E2137</f>
        <v>2108.9004407499997</v>
      </c>
      <c r="F2181" s="12">
        <f>0.522464*F2137</f>
        <v>1991.7111376000003</v>
      </c>
    </row>
    <row r="2182" spans="1:6" ht="12.75">
      <c r="A2182" s="153" t="s">
        <v>20</v>
      </c>
      <c r="B2182" s="167">
        <f t="shared" si="36"/>
        <v>3035.721785200001</v>
      </c>
      <c r="C2182" s="12"/>
      <c r="D2182" s="12">
        <f>0.158142*C2137</f>
        <v>602.8610253</v>
      </c>
      <c r="E2182" s="12">
        <f>0.60489*E2137</f>
        <v>2305.9314135000004</v>
      </c>
      <c r="F2182" s="12">
        <f>0.033296*F2137</f>
        <v>126.9293464</v>
      </c>
    </row>
    <row r="2183" spans="1:6" ht="12.75">
      <c r="A2183" s="153" t="s">
        <v>73</v>
      </c>
      <c r="B2183" s="167">
        <f t="shared" si="36"/>
        <v>0</v>
      </c>
      <c r="C2183" s="12"/>
      <c r="D2183" s="12"/>
      <c r="E2183" s="12"/>
      <c r="F2183" s="12"/>
    </row>
    <row r="2184" spans="1:6" ht="12.75">
      <c r="A2184" s="156" t="s">
        <v>11</v>
      </c>
      <c r="B2184" s="166">
        <f t="shared" si="36"/>
        <v>20804.56007282</v>
      </c>
      <c r="C2184" s="157">
        <f>C2178+C2179+C2180+C2181+C2182</f>
        <v>4688.978809350001</v>
      </c>
      <c r="D2184" s="157">
        <f>SUM(D2178:D2183)</f>
        <v>3107.2117965800003</v>
      </c>
      <c r="E2184" s="157">
        <f>SUM(E2178:E2183)</f>
        <v>7095.93982215</v>
      </c>
      <c r="F2184" s="157">
        <f>SUM(F2178:F2183)</f>
        <v>5912.429644740001</v>
      </c>
    </row>
    <row r="2185" spans="1:6" ht="12.75">
      <c r="A2185" s="153" t="s">
        <v>101</v>
      </c>
      <c r="B2185" s="167">
        <f t="shared" si="36"/>
        <v>2487.3720024</v>
      </c>
      <c r="C2185" s="157">
        <f>0.0644*C2137</f>
        <v>245.50246</v>
      </c>
      <c r="D2185" s="12">
        <v>211</v>
      </c>
      <c r="E2185" s="12">
        <f>0.10264*E2137</f>
        <v>391.279076</v>
      </c>
      <c r="F2185" s="12">
        <f>0.430096*F2137</f>
        <v>1639.5904664</v>
      </c>
    </row>
    <row r="2186" spans="1:6" ht="33.75">
      <c r="A2186" s="161" t="s">
        <v>21</v>
      </c>
      <c r="B2186" s="166">
        <f t="shared" si="36"/>
        <v>568242.28617757</v>
      </c>
      <c r="C2186" s="157">
        <f>C2154+C2176+C2184+C2185</f>
        <v>98583.56955435</v>
      </c>
      <c r="D2186" s="157">
        <f>D2154+D2176+D2184+D2185</f>
        <v>172970.14862158</v>
      </c>
      <c r="E2186" s="157">
        <f>E2154+E2176+E2184</f>
        <v>168820.73419714998</v>
      </c>
      <c r="F2186" s="157">
        <f>F2154+F2176+F2184+F2185</f>
        <v>127867.83380448999</v>
      </c>
    </row>
    <row r="2187" spans="1:6" ht="45">
      <c r="A2187" s="161" t="s">
        <v>22</v>
      </c>
      <c r="B2187" s="168">
        <f>B2186/12/C2137</f>
        <v>12.42173677534484</v>
      </c>
      <c r="C2187" s="172">
        <f>C2186/C2137/3</f>
        <v>8.620119840890311</v>
      </c>
      <c r="D2187" s="14">
        <f>D2186/3/C2137</f>
        <v>15.124461578687443</v>
      </c>
      <c r="E2187" s="13">
        <f>E2186/3/C2137</f>
        <v>14.761637938097047</v>
      </c>
      <c r="F2187" s="13">
        <f>F2186/3/C2137</f>
        <v>11.180727743704558</v>
      </c>
    </row>
    <row r="2188" spans="1:6" ht="12.75">
      <c r="A2188" s="163" t="s">
        <v>34</v>
      </c>
      <c r="B2188" s="154">
        <f>B2141-B2186</f>
        <v>-131597.00617757003</v>
      </c>
      <c r="C2188" s="165">
        <f>C2141-C2186</f>
        <v>-9540.04955435</v>
      </c>
      <c r="D2188" s="12">
        <f>D2141-D2186-9540</f>
        <v>-75567.22862158001</v>
      </c>
      <c r="E2188" s="12">
        <f>E2141-E2186-75567</f>
        <v>-112058.20419714999</v>
      </c>
      <c r="F2188" s="12">
        <f>F2141-F2186-112058</f>
        <v>-131596.52380449</v>
      </c>
    </row>
    <row r="2189" spans="1:6" ht="12.75">
      <c r="A2189" s="29" t="s">
        <v>44</v>
      </c>
      <c r="B2189" s="29"/>
      <c r="C2189" s="29"/>
      <c r="D2189" s="29"/>
      <c r="E2189" s="29"/>
      <c r="F2189" s="29"/>
    </row>
    <row r="2190" spans="1:6" ht="12.75">
      <c r="A2190" s="29" t="s">
        <v>45</v>
      </c>
      <c r="B2190" s="29"/>
      <c r="C2190" s="29"/>
      <c r="D2190" s="29"/>
      <c r="E2190" s="29"/>
      <c r="F2190" s="29"/>
    </row>
    <row r="2191" spans="1:6" ht="12.75">
      <c r="A2191" s="29" t="s">
        <v>579</v>
      </c>
      <c r="B2191" s="29"/>
      <c r="C2191" s="29"/>
      <c r="D2191" s="29"/>
      <c r="E2191" s="29"/>
      <c r="F2191" s="29"/>
    </row>
    <row r="2192" spans="1:6" ht="291" customHeight="1">
      <c r="A2192" s="29"/>
      <c r="B2192" s="29"/>
      <c r="C2192" s="29"/>
      <c r="D2192" s="29"/>
      <c r="E2192" s="29"/>
      <c r="F2192" s="29"/>
    </row>
    <row r="2193" spans="1:6" ht="12.75">
      <c r="A2193" s="120" t="s">
        <v>35</v>
      </c>
      <c r="B2193" s="120"/>
      <c r="C2193" s="29"/>
      <c r="D2193" s="29"/>
      <c r="E2193" s="29"/>
      <c r="F2193" s="29"/>
    </row>
    <row r="2194" spans="1:6" ht="12.75">
      <c r="A2194" s="29" t="s">
        <v>616</v>
      </c>
      <c r="B2194" s="29"/>
      <c r="C2194" s="29"/>
      <c r="D2194" s="29"/>
      <c r="E2194" s="29"/>
      <c r="F2194" s="29"/>
    </row>
    <row r="2195" spans="1:6" ht="12.75">
      <c r="A2195" s="29" t="s">
        <v>224</v>
      </c>
      <c r="B2195" s="29"/>
      <c r="C2195" s="29"/>
      <c r="D2195" s="29"/>
      <c r="E2195" s="29"/>
      <c r="F2195" s="29"/>
    </row>
    <row r="2196" spans="1:6" ht="12.75">
      <c r="A2196" s="29" t="s">
        <v>74</v>
      </c>
      <c r="B2196" s="29"/>
      <c r="C2196" s="29"/>
      <c r="D2196" s="29"/>
      <c r="E2196" s="29" t="s">
        <v>340</v>
      </c>
      <c r="F2196" s="29"/>
    </row>
    <row r="2197" spans="1:6" ht="12.75">
      <c r="A2197" s="10" t="s">
        <v>1</v>
      </c>
      <c r="B2197" s="10" t="s">
        <v>11</v>
      </c>
      <c r="C2197" s="10" t="s">
        <v>86</v>
      </c>
      <c r="D2197" s="10" t="s">
        <v>87</v>
      </c>
      <c r="E2197" s="10" t="s">
        <v>120</v>
      </c>
      <c r="F2197" s="10" t="s">
        <v>141</v>
      </c>
    </row>
    <row r="2198" spans="1:6" ht="12.75">
      <c r="A2198" s="22" t="s">
        <v>6</v>
      </c>
      <c r="B2198" s="22"/>
      <c r="C2198" s="10"/>
      <c r="D2198" s="5"/>
      <c r="E2198" s="5"/>
      <c r="F2198" s="5"/>
    </row>
    <row r="2199" spans="1:6" ht="12.75">
      <c r="A2199" s="5" t="s">
        <v>2</v>
      </c>
      <c r="B2199" s="5"/>
      <c r="C2199" s="10">
        <v>5</v>
      </c>
      <c r="D2199" s="5"/>
      <c r="E2199" s="5"/>
      <c r="F2199" s="5"/>
    </row>
    <row r="2200" spans="1:6" ht="12.75">
      <c r="A2200" s="5" t="s">
        <v>3</v>
      </c>
      <c r="B2200" s="5"/>
      <c r="C2200" s="10">
        <v>4</v>
      </c>
      <c r="D2200" s="5"/>
      <c r="E2200" s="5"/>
      <c r="F2200" s="5"/>
    </row>
    <row r="2201" spans="1:6" ht="12.75">
      <c r="A2201" s="5" t="s">
        <v>4</v>
      </c>
      <c r="B2201" s="5"/>
      <c r="C2201" s="10">
        <v>80</v>
      </c>
      <c r="D2201" s="5"/>
      <c r="E2201" s="5"/>
      <c r="F2201" s="5"/>
    </row>
    <row r="2202" spans="1:6" ht="12.75">
      <c r="A2202" s="5" t="s">
        <v>5</v>
      </c>
      <c r="B2202" s="10">
        <v>3801.02</v>
      </c>
      <c r="C2202" s="10">
        <v>3801.02</v>
      </c>
      <c r="D2202" s="10">
        <v>3801.02</v>
      </c>
      <c r="E2202" s="10">
        <v>3801.02</v>
      </c>
      <c r="F2202" s="10">
        <v>3801.02</v>
      </c>
    </row>
    <row r="2203" spans="1:6" ht="22.5">
      <c r="A2203" s="150" t="s">
        <v>7</v>
      </c>
      <c r="B2203" s="150"/>
      <c r="C2203" s="5" t="s">
        <v>36</v>
      </c>
      <c r="D2203" s="5"/>
      <c r="E2203" s="5"/>
      <c r="F2203" s="5"/>
    </row>
    <row r="2204" spans="1:6" ht="22.5">
      <c r="A2204" s="151" t="s">
        <v>8</v>
      </c>
      <c r="B2204" s="6">
        <f>C2204+D2204+E2204+F2204</f>
        <v>431749.5</v>
      </c>
      <c r="C2204" s="10">
        <v>102000.99</v>
      </c>
      <c r="D2204" s="10">
        <v>102333.95</v>
      </c>
      <c r="E2204" s="10">
        <v>124450.76</v>
      </c>
      <c r="F2204" s="10">
        <v>102963.8</v>
      </c>
    </row>
    <row r="2205" spans="1:6" ht="22.5">
      <c r="A2205" s="153" t="s">
        <v>9</v>
      </c>
      <c r="B2205" s="6">
        <f>C2205+D2205+E2205+F2205</f>
        <v>0</v>
      </c>
      <c r="C2205" s="10">
        <v>0</v>
      </c>
      <c r="D2205" s="10">
        <v>0</v>
      </c>
      <c r="E2205" s="10">
        <v>0</v>
      </c>
      <c r="F2205" s="10">
        <v>0</v>
      </c>
    </row>
    <row r="2206" spans="1:6" ht="12.75">
      <c r="A2206" s="5" t="s">
        <v>11</v>
      </c>
      <c r="B2206" s="150">
        <f>C2206+D2206+E2206+F2206</f>
        <v>431749.5</v>
      </c>
      <c r="C2206" s="22">
        <f>C2204+C2205</f>
        <v>102000.99</v>
      </c>
      <c r="D2206" s="22">
        <f>SUM(D2204:D2205)</f>
        <v>102333.95</v>
      </c>
      <c r="E2206" s="22">
        <f>SUM(E2204:E2205)</f>
        <v>124450.76</v>
      </c>
      <c r="F2206" s="22">
        <f>SUM(F2204:F2205)</f>
        <v>102963.8</v>
      </c>
    </row>
    <row r="2207" spans="1:6" ht="22.5">
      <c r="A2207" s="150" t="s">
        <v>12</v>
      </c>
      <c r="B2207" s="150"/>
      <c r="C2207" s="5"/>
      <c r="D2207" s="5"/>
      <c r="E2207" s="5"/>
      <c r="F2207" s="5"/>
    </row>
    <row r="2208" spans="1:7" ht="12.75">
      <c r="A2208" s="156" t="s">
        <v>13</v>
      </c>
      <c r="B2208" s="166">
        <f>C2208+D2208+E2208+F2208</f>
        <v>120024.69070838</v>
      </c>
      <c r="C2208" s="157">
        <f>7.5947*C2202</f>
        <v>28867.606593999997</v>
      </c>
      <c r="D2208" s="157">
        <f>7.632*C2202</f>
        <v>29009.38464</v>
      </c>
      <c r="E2208" s="157">
        <f>8.5526*E2202</f>
        <v>32508.603651999998</v>
      </c>
      <c r="F2208" s="157">
        <f>7.797669*F2202</f>
        <v>29639.09582238</v>
      </c>
      <c r="G2208" s="8"/>
    </row>
    <row r="2209" spans="1:6" ht="21.75">
      <c r="A2209" s="156" t="s">
        <v>14</v>
      </c>
      <c r="B2209" s="167">
        <f aca="true" t="shared" si="37" ref="B2209:B2250">C2209+D2209+E2209+F2209</f>
        <v>0</v>
      </c>
      <c r="C2209" s="12"/>
      <c r="D2209" s="12"/>
      <c r="E2209" s="12"/>
      <c r="F2209" s="12"/>
    </row>
    <row r="2210" spans="1:6" ht="12.75">
      <c r="A2210" s="153" t="s">
        <v>15</v>
      </c>
      <c r="B2210" s="167">
        <f t="shared" si="37"/>
        <v>135378.93</v>
      </c>
      <c r="C2210" s="12">
        <f>C2211+C2213</f>
        <v>27751.31</v>
      </c>
      <c r="D2210" s="12">
        <f>D2211+D2213+D2214+D2215+D2216+D2217+D2218</f>
        <v>35357.7</v>
      </c>
      <c r="E2210" s="12">
        <f>E2211+E2213+E2214+E2215+E2216+E2217+E2218</f>
        <v>42232</v>
      </c>
      <c r="F2210" s="12">
        <f>F2211+F2213+F2214+F2215+F2216+F2217+F2218</f>
        <v>30037.92</v>
      </c>
    </row>
    <row r="2211" spans="1:6" ht="12.75">
      <c r="A2211" s="158" t="s">
        <v>16</v>
      </c>
      <c r="B2211" s="167">
        <f t="shared" si="37"/>
        <v>115542</v>
      </c>
      <c r="C2211" s="165">
        <v>27517</v>
      </c>
      <c r="D2211" s="12">
        <v>25900</v>
      </c>
      <c r="E2211" s="12">
        <v>32835</v>
      </c>
      <c r="F2211" s="12">
        <v>29290</v>
      </c>
    </row>
    <row r="2212" spans="1:6" ht="12.75">
      <c r="A2212" s="153" t="s">
        <v>33</v>
      </c>
      <c r="B2212" s="167">
        <f t="shared" si="37"/>
        <v>71052</v>
      </c>
      <c r="C2212" s="165">
        <v>15037</v>
      </c>
      <c r="D2212" s="12">
        <v>16595</v>
      </c>
      <c r="E2212" s="12">
        <v>19710</v>
      </c>
      <c r="F2212" s="12">
        <v>19710</v>
      </c>
    </row>
    <row r="2213" spans="1:6" ht="12.75">
      <c r="A2213" s="153" t="s">
        <v>24</v>
      </c>
      <c r="B2213" s="167">
        <f t="shared" si="37"/>
        <v>2239.93</v>
      </c>
      <c r="C2213" s="12">
        <v>234.31</v>
      </c>
      <c r="D2213" s="12">
        <v>565.7</v>
      </c>
      <c r="E2213" s="12">
        <v>692</v>
      </c>
      <c r="F2213" s="12">
        <v>747.92</v>
      </c>
    </row>
    <row r="2214" spans="1:6" ht="12.75">
      <c r="A2214" s="153" t="s">
        <v>17</v>
      </c>
      <c r="B2214" s="167">
        <f t="shared" si="37"/>
        <v>0</v>
      </c>
      <c r="C2214" s="12"/>
      <c r="D2214" s="12"/>
      <c r="E2214" s="12"/>
      <c r="F2214" s="12"/>
    </row>
    <row r="2215" spans="1:6" ht="12.75">
      <c r="A2215" s="153" t="s">
        <v>40</v>
      </c>
      <c r="B2215" s="167">
        <f t="shared" si="37"/>
        <v>0</v>
      </c>
      <c r="C2215" s="12"/>
      <c r="D2215" s="12"/>
      <c r="E2215" s="12"/>
      <c r="F2215" s="12"/>
    </row>
    <row r="2216" spans="1:6" ht="12.75">
      <c r="A2216" s="153" t="s">
        <v>65</v>
      </c>
      <c r="B2216" s="167">
        <f t="shared" si="37"/>
        <v>0</v>
      </c>
      <c r="C2216" s="12"/>
      <c r="D2216" s="12"/>
      <c r="E2216" s="12"/>
      <c r="F2216" s="12"/>
    </row>
    <row r="2217" spans="1:6" ht="12.75">
      <c r="A2217" s="153" t="s">
        <v>426</v>
      </c>
      <c r="B2217" s="167">
        <f t="shared" si="37"/>
        <v>9543</v>
      </c>
      <c r="C2217" s="12"/>
      <c r="D2217" s="12">
        <v>4062</v>
      </c>
      <c r="E2217" s="12">
        <v>5481</v>
      </c>
      <c r="F2217" s="12"/>
    </row>
    <row r="2218" spans="1:6" ht="12.75">
      <c r="A2218" s="153" t="s">
        <v>427</v>
      </c>
      <c r="B2218" s="167"/>
      <c r="C2218" s="12"/>
      <c r="D2218" s="12">
        <v>4830</v>
      </c>
      <c r="E2218" s="12">
        <v>3224</v>
      </c>
      <c r="F2218" s="12"/>
    </row>
    <row r="2219" spans="1:6" ht="12.75">
      <c r="A2219" s="155" t="s">
        <v>11</v>
      </c>
      <c r="B2219" s="166">
        <f t="shared" si="37"/>
        <v>255403.62070837998</v>
      </c>
      <c r="C2219" s="157">
        <f>C2208+C2210</f>
        <v>56618.916593999995</v>
      </c>
      <c r="D2219" s="157">
        <f>D2208+D2210</f>
        <v>64367.08464</v>
      </c>
      <c r="E2219" s="157">
        <f>E2208+E2210</f>
        <v>74740.60365199999</v>
      </c>
      <c r="F2219" s="157">
        <f>F2208+F2210</f>
        <v>59677.015822379995</v>
      </c>
    </row>
    <row r="2220" spans="1:6" ht="21.75">
      <c r="A2220" s="159" t="s">
        <v>18</v>
      </c>
      <c r="B2220" s="167">
        <f t="shared" si="37"/>
        <v>0</v>
      </c>
      <c r="C2220" s="12"/>
      <c r="D2220" s="12"/>
      <c r="E2220" s="12"/>
      <c r="F2220" s="12"/>
    </row>
    <row r="2221" spans="1:6" ht="12.75">
      <c r="A2221" s="153" t="s">
        <v>23</v>
      </c>
      <c r="B2221" s="167">
        <f t="shared" si="37"/>
        <v>93211.273154</v>
      </c>
      <c r="C2221" s="165">
        <f>5.3352*C2202</f>
        <v>20279.201904</v>
      </c>
      <c r="D2221" s="12">
        <f>6.1735*C2202</f>
        <v>23465.59697</v>
      </c>
      <c r="E2221" s="12">
        <f>6.4099*E2202</f>
        <v>24364.158098</v>
      </c>
      <c r="F2221" s="12">
        <f>6.6041*F2202</f>
        <v>25102.316182</v>
      </c>
    </row>
    <row r="2222" spans="1:6" ht="12.75">
      <c r="A2222" s="153" t="s">
        <v>520</v>
      </c>
      <c r="B2222" s="167">
        <f t="shared" si="37"/>
        <v>9008.6</v>
      </c>
      <c r="C2222" s="12"/>
      <c r="D2222" s="12"/>
      <c r="E2222" s="12">
        <v>1671.6</v>
      </c>
      <c r="F2222" s="12">
        <v>7337</v>
      </c>
    </row>
    <row r="2223" spans="1:6" ht="12.75">
      <c r="A2223" s="153" t="s">
        <v>62</v>
      </c>
      <c r="B2223" s="167">
        <f t="shared" si="37"/>
        <v>0</v>
      </c>
      <c r="C2223" s="12"/>
      <c r="D2223" s="12"/>
      <c r="E2223" s="12"/>
      <c r="F2223" s="12"/>
    </row>
    <row r="2224" spans="1:6" ht="12.75">
      <c r="A2224" s="153" t="s">
        <v>30</v>
      </c>
      <c r="B2224" s="167">
        <f t="shared" si="37"/>
        <v>47520.5</v>
      </c>
      <c r="C2224" s="12">
        <v>5711</v>
      </c>
      <c r="D2224" s="12">
        <v>12689.5</v>
      </c>
      <c r="E2224" s="12">
        <v>12431</v>
      </c>
      <c r="F2224" s="12">
        <v>16689</v>
      </c>
    </row>
    <row r="2225" spans="1:6" ht="12.75">
      <c r="A2225" s="153" t="s">
        <v>28</v>
      </c>
      <c r="B2225" s="167">
        <f t="shared" si="37"/>
        <v>2818.4</v>
      </c>
      <c r="C2225" s="12"/>
      <c r="D2225" s="12">
        <v>1118.4</v>
      </c>
      <c r="E2225" s="12">
        <v>1700</v>
      </c>
      <c r="F2225" s="12"/>
    </row>
    <row r="2226" spans="1:6" ht="12.75">
      <c r="A2226" s="153" t="s">
        <v>41</v>
      </c>
      <c r="B2226" s="167">
        <f t="shared" si="37"/>
        <v>950</v>
      </c>
      <c r="C2226" s="12"/>
      <c r="D2226" s="12"/>
      <c r="E2226" s="12">
        <v>820</v>
      </c>
      <c r="F2226" s="12">
        <v>130</v>
      </c>
    </row>
    <row r="2227" spans="1:6" ht="12.75">
      <c r="A2227" s="153" t="s">
        <v>50</v>
      </c>
      <c r="B2227" s="167">
        <f t="shared" si="37"/>
        <v>6607</v>
      </c>
      <c r="C2227" s="12"/>
      <c r="D2227" s="12">
        <v>2391</v>
      </c>
      <c r="E2227" s="12">
        <v>2535</v>
      </c>
      <c r="F2227" s="12">
        <v>1681</v>
      </c>
    </row>
    <row r="2228" spans="1:6" ht="12.75">
      <c r="A2228" s="153" t="s">
        <v>52</v>
      </c>
      <c r="B2228" s="167">
        <f t="shared" si="37"/>
        <v>0</v>
      </c>
      <c r="C2228" s="12"/>
      <c r="D2228" s="12"/>
      <c r="E2228" s="12"/>
      <c r="F2228" s="12"/>
    </row>
    <row r="2229" spans="1:6" ht="22.5">
      <c r="A2229" s="153" t="s">
        <v>225</v>
      </c>
      <c r="B2229" s="167">
        <f t="shared" si="37"/>
        <v>544.78</v>
      </c>
      <c r="C2229" s="12">
        <v>544.78</v>
      </c>
      <c r="D2229" s="12"/>
      <c r="E2229" s="12"/>
      <c r="F2229" s="12"/>
    </row>
    <row r="2230" spans="1:6" ht="12.75">
      <c r="A2230" s="153" t="s">
        <v>27</v>
      </c>
      <c r="B2230" s="167">
        <f t="shared" si="37"/>
        <v>152</v>
      </c>
      <c r="C2230" s="12"/>
      <c r="D2230" s="12"/>
      <c r="E2230" s="12">
        <v>152</v>
      </c>
      <c r="F2230" s="12"/>
    </row>
    <row r="2231" spans="1:6" ht="12.75">
      <c r="A2231" s="153" t="s">
        <v>294</v>
      </c>
      <c r="B2231" s="167">
        <f t="shared" si="37"/>
        <v>497.5</v>
      </c>
      <c r="C2231" s="12"/>
      <c r="D2231" s="12">
        <v>335.5</v>
      </c>
      <c r="E2231" s="12">
        <v>162</v>
      </c>
      <c r="F2231" s="12"/>
    </row>
    <row r="2232" spans="1:6" ht="12.75">
      <c r="A2232" s="153" t="s">
        <v>47</v>
      </c>
      <c r="B2232" s="167">
        <f t="shared" si="37"/>
        <v>310</v>
      </c>
      <c r="C2232" s="12"/>
      <c r="D2232" s="12"/>
      <c r="E2232" s="12"/>
      <c r="F2232" s="12">
        <v>310</v>
      </c>
    </row>
    <row r="2233" spans="1:6" ht="12.75">
      <c r="A2233" s="153" t="s">
        <v>75</v>
      </c>
      <c r="B2233" s="167">
        <f t="shared" si="37"/>
        <v>0</v>
      </c>
      <c r="C2233" s="12"/>
      <c r="D2233" s="12"/>
      <c r="E2233" s="12"/>
      <c r="F2233" s="12"/>
    </row>
    <row r="2234" spans="1:6" ht="12.75">
      <c r="A2234" s="153" t="s">
        <v>453</v>
      </c>
      <c r="B2234" s="167">
        <f t="shared" si="37"/>
        <v>955</v>
      </c>
      <c r="C2234" s="12"/>
      <c r="D2234" s="12"/>
      <c r="E2234" s="12"/>
      <c r="F2234" s="12">
        <v>955</v>
      </c>
    </row>
    <row r="2235" spans="1:6" ht="12.75">
      <c r="A2235" s="153" t="s">
        <v>435</v>
      </c>
      <c r="B2235" s="167">
        <f t="shared" si="37"/>
        <v>642</v>
      </c>
      <c r="C2235" s="12"/>
      <c r="D2235" s="12"/>
      <c r="E2235" s="12"/>
      <c r="F2235" s="12">
        <v>642</v>
      </c>
    </row>
    <row r="2236" spans="1:6" ht="12.75">
      <c r="A2236" s="153" t="s">
        <v>519</v>
      </c>
      <c r="B2236" s="167">
        <f t="shared" si="37"/>
        <v>70</v>
      </c>
      <c r="C2236" s="12"/>
      <c r="D2236" s="12"/>
      <c r="E2236" s="12"/>
      <c r="F2236" s="12">
        <v>70</v>
      </c>
    </row>
    <row r="2237" spans="1:6" ht="12.75">
      <c r="A2237" s="153" t="s">
        <v>55</v>
      </c>
      <c r="B2237" s="167">
        <f t="shared" si="37"/>
        <v>0</v>
      </c>
      <c r="C2237" s="12"/>
      <c r="D2237" s="12"/>
      <c r="E2237" s="12"/>
      <c r="F2237" s="12"/>
    </row>
    <row r="2238" spans="1:6" ht="12.75">
      <c r="A2238" s="153" t="s">
        <v>143</v>
      </c>
      <c r="B2238" s="167">
        <f t="shared" si="37"/>
        <v>41.25</v>
      </c>
      <c r="C2238" s="12"/>
      <c r="D2238" s="12"/>
      <c r="E2238" s="12"/>
      <c r="F2238" s="12">
        <v>41.25</v>
      </c>
    </row>
    <row r="2239" spans="1:6" ht="12.75">
      <c r="A2239" s="153" t="s">
        <v>142</v>
      </c>
      <c r="B2239" s="167">
        <f t="shared" si="37"/>
        <v>0</v>
      </c>
      <c r="C2239" s="12"/>
      <c r="D2239" s="12"/>
      <c r="E2239" s="12"/>
      <c r="F2239" s="12"/>
    </row>
    <row r="2240" spans="1:6" ht="12.75">
      <c r="A2240" s="155" t="s">
        <v>11</v>
      </c>
      <c r="B2240" s="166">
        <f t="shared" si="37"/>
        <v>163328.30315399996</v>
      </c>
      <c r="C2240" s="157">
        <f>C2221+C2222+C2223+C2224+C2225+C2226+C2227+C2228+C2229+C2230+C2231+C2232+C2233+C2234+C2235+C2236+C2237+C2238+C2239</f>
        <v>26534.981904</v>
      </c>
      <c r="D2240" s="157">
        <f>SUM(D2221:D2239)</f>
        <v>39999.99697</v>
      </c>
      <c r="E2240" s="157">
        <f>SUM(E2221:E2239)</f>
        <v>43835.758098</v>
      </c>
      <c r="F2240" s="157">
        <f>SUM(F2221:F2239)</f>
        <v>52957.566181999995</v>
      </c>
    </row>
    <row r="2241" spans="1:6" ht="12.75">
      <c r="A2241" s="155" t="s">
        <v>19</v>
      </c>
      <c r="B2241" s="167">
        <f t="shared" si="37"/>
        <v>0</v>
      </c>
      <c r="C2241" s="12"/>
      <c r="D2241" s="12"/>
      <c r="E2241" s="12"/>
      <c r="F2241" s="12"/>
    </row>
    <row r="2242" spans="1:6" ht="12.75">
      <c r="A2242" s="153" t="s">
        <v>38</v>
      </c>
      <c r="B2242" s="167">
        <f t="shared" si="37"/>
        <v>3195.2628456599996</v>
      </c>
      <c r="C2242" s="12">
        <f>0.218666*C2202</f>
        <v>831.15383932</v>
      </c>
      <c r="D2242" s="12">
        <f>0.210458*C2202</f>
        <v>799.95506716</v>
      </c>
      <c r="E2242" s="12">
        <f>0.167241*E2202</f>
        <v>635.68638582</v>
      </c>
      <c r="F2242" s="12">
        <f>0.244268*F2202</f>
        <v>928.46755336</v>
      </c>
    </row>
    <row r="2243" spans="1:6" ht="12.75">
      <c r="A2243" s="153" t="s">
        <v>39</v>
      </c>
      <c r="B2243" s="167">
        <f t="shared" si="37"/>
        <v>6335.99245738</v>
      </c>
      <c r="C2243" s="12">
        <f>0.306583*C2202</f>
        <v>1165.32811466</v>
      </c>
      <c r="D2243" s="12">
        <f>0.0733554*C2202</f>
        <v>278.825342508</v>
      </c>
      <c r="E2243" s="12">
        <f>0.536065*E2202</f>
        <v>2037.5937863000001</v>
      </c>
      <c r="F2243" s="12">
        <f>0.7509156*F2202</f>
        <v>2854.245213912</v>
      </c>
    </row>
    <row r="2244" spans="1:6" ht="12.75">
      <c r="A2244" s="153" t="s">
        <v>32</v>
      </c>
      <c r="B2244" s="167">
        <f t="shared" si="37"/>
        <v>0</v>
      </c>
      <c r="C2244" s="12"/>
      <c r="D2244" s="12"/>
      <c r="E2244" s="12"/>
      <c r="F2244" s="12"/>
    </row>
    <row r="2245" spans="1:6" ht="12.75">
      <c r="A2245" s="153" t="s">
        <v>37</v>
      </c>
      <c r="B2245" s="167">
        <f t="shared" si="37"/>
        <v>8185.704865896</v>
      </c>
      <c r="C2245" s="12">
        <f>0.70476*C2202</f>
        <v>2678.8068552</v>
      </c>
      <c r="D2245" s="12">
        <f>0.3731258*C2202</f>
        <v>1418.258628316</v>
      </c>
      <c r="E2245" s="12">
        <f>0.553205*E2202</f>
        <v>2102.7432691</v>
      </c>
      <c r="F2245" s="12">
        <f>0.522464*F2202</f>
        <v>1985.8961132800002</v>
      </c>
    </row>
    <row r="2246" spans="1:6" ht="12.75">
      <c r="A2246" s="153" t="s">
        <v>20</v>
      </c>
      <c r="B2246" s="167">
        <f t="shared" si="37"/>
        <v>3026.85865456</v>
      </c>
      <c r="C2246" s="12"/>
      <c r="D2246" s="12">
        <f>0.158142*C2202</f>
        <v>601.10090484</v>
      </c>
      <c r="E2246" s="12">
        <f>0.60489*E2202</f>
        <v>2299.1989878</v>
      </c>
      <c r="F2246" s="12">
        <f>0.033296*F2202</f>
        <v>126.55876192</v>
      </c>
    </row>
    <row r="2247" spans="1:6" ht="12.75">
      <c r="A2247" s="153" t="s">
        <v>73</v>
      </c>
      <c r="B2247" s="167">
        <f t="shared" si="37"/>
        <v>0</v>
      </c>
      <c r="C2247" s="12"/>
      <c r="D2247" s="12"/>
      <c r="E2247" s="12"/>
      <c r="F2247" s="12"/>
    </row>
    <row r="2248" spans="1:6" ht="12.75">
      <c r="A2248" s="156" t="s">
        <v>11</v>
      </c>
      <c r="B2248" s="166">
        <f t="shared" si="37"/>
        <v>20743.818823496</v>
      </c>
      <c r="C2248" s="157">
        <f>C2242+C2243+C2244+C2245+C2246</f>
        <v>4675.28880918</v>
      </c>
      <c r="D2248" s="157">
        <f>SUM(D2242:D2247)</f>
        <v>3098.139942824</v>
      </c>
      <c r="E2248" s="157">
        <f>SUM(E2242:E2247)</f>
        <v>7075.222429020001</v>
      </c>
      <c r="F2248" s="157">
        <f>SUM(F2242:F2247)</f>
        <v>5895.167642472</v>
      </c>
    </row>
    <row r="2249" spans="1:6" ht="12.75">
      <c r="A2249" s="153" t="s">
        <v>101</v>
      </c>
      <c r="B2249" s="167">
        <f t="shared" si="37"/>
        <v>2480.72587872</v>
      </c>
      <c r="C2249" s="157">
        <f>0.0644*C2202</f>
        <v>244.785688</v>
      </c>
      <c r="D2249" s="157">
        <v>211</v>
      </c>
      <c r="E2249" s="12">
        <f>0.10264*E2202</f>
        <v>390.1366928</v>
      </c>
      <c r="F2249" s="12">
        <f>0.430096*F2202</f>
        <v>1634.80349792</v>
      </c>
    </row>
    <row r="2250" spans="1:6" ht="33.75">
      <c r="A2250" s="161" t="s">
        <v>21</v>
      </c>
      <c r="B2250" s="166">
        <f t="shared" si="37"/>
        <v>441566.331871796</v>
      </c>
      <c r="C2250" s="157">
        <f>C2219+C2240+C2248+C2249</f>
        <v>88073.97299518</v>
      </c>
      <c r="D2250" s="157">
        <f>D2219+D2240+D2248+D2249</f>
        <v>107676.22155282399</v>
      </c>
      <c r="E2250" s="157">
        <f>E2219+E2240+E2248</f>
        <v>125651.58417901998</v>
      </c>
      <c r="F2250" s="157">
        <f>F2219+F2240+F2248+F2249</f>
        <v>120164.553144772</v>
      </c>
    </row>
    <row r="2251" spans="1:6" ht="45">
      <c r="A2251" s="161" t="s">
        <v>22</v>
      </c>
      <c r="B2251" s="162">
        <f>B2250/12/C2202</f>
        <v>9.680873639878156</v>
      </c>
      <c r="C2251" s="14">
        <f>C2250/C2202/3</f>
        <v>7.723713897425778</v>
      </c>
      <c r="D2251" s="14">
        <f>D2250/3/C2202</f>
        <v>9.442747960005821</v>
      </c>
      <c r="E2251" s="14">
        <f>E2250/3/C2202</f>
        <v>11.0191110262526</v>
      </c>
      <c r="F2251" s="14">
        <f>F2250/3/C2202</f>
        <v>10.537921675828418</v>
      </c>
    </row>
    <row r="2252" spans="1:6" ht="12.75">
      <c r="A2252" s="163" t="s">
        <v>34</v>
      </c>
      <c r="B2252" s="154">
        <f>B2206-B2250</f>
        <v>-9816.831871795992</v>
      </c>
      <c r="C2252" s="12">
        <f>C2206-C2250</f>
        <v>13927.017004820009</v>
      </c>
      <c r="D2252" s="12">
        <f>D2206-D2250+C2252</f>
        <v>8584.745451996016</v>
      </c>
      <c r="E2252" s="12">
        <f>E2206-E2250+D2252</f>
        <v>7383.921272976033</v>
      </c>
      <c r="F2252" s="12">
        <f>F2206-F2250+E2252</f>
        <v>-9816.831871795963</v>
      </c>
    </row>
    <row r="2253" spans="1:6" ht="12.75">
      <c r="A2253" s="29" t="s">
        <v>44</v>
      </c>
      <c r="B2253" s="29"/>
      <c r="C2253" s="29"/>
      <c r="D2253" s="29"/>
      <c r="E2253" s="29"/>
      <c r="F2253" s="29"/>
    </row>
    <row r="2254" spans="1:6" ht="12.75">
      <c r="A2254" s="29" t="s">
        <v>45</v>
      </c>
      <c r="B2254" s="29"/>
      <c r="C2254" s="29"/>
      <c r="D2254" s="29"/>
      <c r="E2254" s="29"/>
      <c r="F2254" s="29"/>
    </row>
    <row r="2255" spans="1:6" ht="12.75">
      <c r="A2255" s="29" t="s">
        <v>579</v>
      </c>
      <c r="B2255" s="29"/>
      <c r="C2255" s="29"/>
      <c r="D2255" s="29"/>
      <c r="E2255" s="29"/>
      <c r="F2255" s="29"/>
    </row>
    <row r="2256" spans="1:6" ht="302.25" customHeight="1">
      <c r="A2256" s="29"/>
      <c r="B2256" s="29"/>
      <c r="C2256" s="29"/>
      <c r="D2256" s="29"/>
      <c r="E2256" s="29"/>
      <c r="F2256" s="29"/>
    </row>
    <row r="2257" spans="1:6" ht="12.75">
      <c r="A2257" s="120" t="s">
        <v>35</v>
      </c>
      <c r="B2257" s="120"/>
      <c r="C2257" s="29"/>
      <c r="D2257" s="29"/>
      <c r="E2257" s="29"/>
      <c r="F2257" s="29"/>
    </row>
    <row r="2258" spans="1:6" ht="12.75">
      <c r="A2258" s="29" t="s">
        <v>616</v>
      </c>
      <c r="B2258" s="29"/>
      <c r="C2258" s="29"/>
      <c r="D2258" s="29"/>
      <c r="E2258" s="29"/>
      <c r="F2258" s="29"/>
    </row>
    <row r="2259" spans="1:6" ht="12.75">
      <c r="A2259" s="29" t="s">
        <v>224</v>
      </c>
      <c r="B2259" s="29"/>
      <c r="C2259" s="29"/>
      <c r="D2259" s="29"/>
      <c r="E2259" s="29"/>
      <c r="F2259" s="29"/>
    </row>
    <row r="2260" spans="1:6" ht="12.75">
      <c r="A2260" s="29" t="s">
        <v>76</v>
      </c>
      <c r="B2260" s="29"/>
      <c r="C2260" s="29"/>
      <c r="D2260" s="29"/>
      <c r="E2260" s="29" t="s">
        <v>340</v>
      </c>
      <c r="F2260" s="29"/>
    </row>
    <row r="2261" spans="1:6" ht="12.75">
      <c r="A2261" s="10" t="s">
        <v>1</v>
      </c>
      <c r="B2261" s="10" t="s">
        <v>11</v>
      </c>
      <c r="C2261" s="10" t="s">
        <v>86</v>
      </c>
      <c r="D2261" s="10" t="s">
        <v>87</v>
      </c>
      <c r="E2261" s="10" t="s">
        <v>120</v>
      </c>
      <c r="F2261" s="10" t="s">
        <v>141</v>
      </c>
    </row>
    <row r="2262" spans="1:6" ht="12.75">
      <c r="A2262" s="22" t="s">
        <v>6</v>
      </c>
      <c r="B2262" s="22"/>
      <c r="C2262" s="10"/>
      <c r="D2262" s="5"/>
      <c r="E2262" s="5"/>
      <c r="F2262" s="5"/>
    </row>
    <row r="2263" spans="1:6" ht="12.75">
      <c r="A2263" s="5" t="s">
        <v>2</v>
      </c>
      <c r="B2263" s="5"/>
      <c r="C2263" s="10">
        <v>5</v>
      </c>
      <c r="D2263" s="5"/>
      <c r="E2263" s="5"/>
      <c r="F2263" s="5"/>
    </row>
    <row r="2264" spans="1:6" ht="12.75">
      <c r="A2264" s="5" t="s">
        <v>3</v>
      </c>
      <c r="B2264" s="5"/>
      <c r="C2264" s="10">
        <v>4</v>
      </c>
      <c r="D2264" s="5"/>
      <c r="E2264" s="5"/>
      <c r="F2264" s="5"/>
    </row>
    <row r="2265" spans="1:6" ht="12.75">
      <c r="A2265" s="5" t="s">
        <v>4</v>
      </c>
      <c r="B2265" s="5"/>
      <c r="C2265" s="10">
        <v>80</v>
      </c>
      <c r="D2265" s="5"/>
      <c r="E2265" s="5"/>
      <c r="F2265" s="5"/>
    </row>
    <row r="2266" spans="1:6" ht="12.75">
      <c r="A2266" s="5" t="s">
        <v>5</v>
      </c>
      <c r="B2266" s="10">
        <v>3786.32</v>
      </c>
      <c r="C2266" s="10">
        <v>3786.32</v>
      </c>
      <c r="D2266" s="10">
        <v>3786.32</v>
      </c>
      <c r="E2266" s="10">
        <v>3786.32</v>
      </c>
      <c r="F2266" s="10">
        <v>3786.32</v>
      </c>
    </row>
    <row r="2267" spans="1:6" ht="22.5">
      <c r="A2267" s="150" t="s">
        <v>7</v>
      </c>
      <c r="B2267" s="150"/>
      <c r="C2267" s="5" t="s">
        <v>36</v>
      </c>
      <c r="D2267" s="5"/>
      <c r="E2267" s="5"/>
      <c r="F2267" s="5"/>
    </row>
    <row r="2268" spans="1:6" ht="22.5">
      <c r="A2268" s="151" t="s">
        <v>8</v>
      </c>
      <c r="B2268" s="6">
        <f>C2268+D2268+E2268+F2268</f>
        <v>350067.15</v>
      </c>
      <c r="C2268" s="10">
        <v>75008.91</v>
      </c>
      <c r="D2268" s="10">
        <v>78057.67</v>
      </c>
      <c r="E2268" s="10">
        <v>117290.92</v>
      </c>
      <c r="F2268" s="10">
        <v>79709.65</v>
      </c>
    </row>
    <row r="2269" spans="1:6" ht="22.5">
      <c r="A2269" s="153" t="s">
        <v>9</v>
      </c>
      <c r="B2269" s="6">
        <f>C2269+D2269+E2269+F2269</f>
        <v>0</v>
      </c>
      <c r="C2269" s="10">
        <v>0</v>
      </c>
      <c r="D2269" s="10">
        <v>0</v>
      </c>
      <c r="E2269" s="10">
        <v>0</v>
      </c>
      <c r="F2269" s="10">
        <v>0</v>
      </c>
    </row>
    <row r="2270" spans="1:6" ht="12.75">
      <c r="A2270" s="5" t="s">
        <v>11</v>
      </c>
      <c r="B2270" s="150">
        <f>C2270+D2270+E2270+F2270</f>
        <v>350067.15</v>
      </c>
      <c r="C2270" s="22">
        <f>C2268+C2269</f>
        <v>75008.91</v>
      </c>
      <c r="D2270" s="22">
        <f>SUM(D2268:D2269)</f>
        <v>78057.67</v>
      </c>
      <c r="E2270" s="22">
        <f>SUM(E2268:E2269)</f>
        <v>117290.92</v>
      </c>
      <c r="F2270" s="22">
        <f>SUM(F2268:F2269)</f>
        <v>79709.65</v>
      </c>
    </row>
    <row r="2271" spans="1:6" ht="22.5">
      <c r="A2271" s="150" t="s">
        <v>12</v>
      </c>
      <c r="B2271" s="150"/>
      <c r="C2271" s="5"/>
      <c r="D2271" s="5"/>
      <c r="E2271" s="5"/>
      <c r="F2271" s="5"/>
    </row>
    <row r="2272" spans="1:7" ht="12.75">
      <c r="A2272" s="156" t="s">
        <v>13</v>
      </c>
      <c r="B2272" s="166">
        <f>C2272+D2272+E2272+F2272</f>
        <v>119560.50926408</v>
      </c>
      <c r="C2272" s="157">
        <f>7.5947*C2266</f>
        <v>28755.964504</v>
      </c>
      <c r="D2272" s="157">
        <f>7.632*C2266</f>
        <v>28897.19424</v>
      </c>
      <c r="E2272" s="157">
        <f>8.5526*E2266</f>
        <v>32382.880432</v>
      </c>
      <c r="F2272" s="157">
        <f>7.797669*F2266</f>
        <v>29524.47008808</v>
      </c>
      <c r="G2272" s="8"/>
    </row>
    <row r="2273" spans="1:6" ht="21.75">
      <c r="A2273" s="156" t="s">
        <v>14</v>
      </c>
      <c r="B2273" s="167">
        <f aca="true" t="shared" si="38" ref="B2273:B2315">C2273+D2273+E2273+F2273</f>
        <v>0</v>
      </c>
      <c r="C2273" s="12"/>
      <c r="D2273" s="12"/>
      <c r="E2273" s="12"/>
      <c r="F2273" s="12"/>
    </row>
    <row r="2274" spans="1:6" ht="12.75">
      <c r="A2274" s="153" t="s">
        <v>15</v>
      </c>
      <c r="B2274" s="167">
        <f t="shared" si="38"/>
        <v>143230.88</v>
      </c>
      <c r="C2274" s="12">
        <f>C2275+C2277</f>
        <v>30676.18</v>
      </c>
      <c r="D2274" s="12">
        <f>D2275+D2277+D2278+D2279+D2280+D2281+D2282</f>
        <v>38812.39</v>
      </c>
      <c r="E2274" s="12">
        <f>E2275+E2277+E2278+E2279+E2280+E2281+E2282</f>
        <v>41856.92</v>
      </c>
      <c r="F2274" s="12">
        <f>F2275+F2277+F2278+F2279+F2280+F2281+F2282</f>
        <v>31885.39</v>
      </c>
    </row>
    <row r="2275" spans="1:6" ht="12.75">
      <c r="A2275" s="158" t="s">
        <v>16</v>
      </c>
      <c r="B2275" s="167">
        <f t="shared" si="38"/>
        <v>124730</v>
      </c>
      <c r="C2275" s="165">
        <v>30442</v>
      </c>
      <c r="D2275" s="12">
        <v>28475</v>
      </c>
      <c r="E2275" s="12">
        <v>34672</v>
      </c>
      <c r="F2275" s="12">
        <v>31141</v>
      </c>
    </row>
    <row r="2276" spans="1:6" ht="12.75">
      <c r="A2276" s="153" t="s">
        <v>33</v>
      </c>
      <c r="B2276" s="167">
        <f t="shared" si="38"/>
        <v>80412</v>
      </c>
      <c r="C2276" s="165">
        <v>18010</v>
      </c>
      <c r="D2276" s="12">
        <v>19206</v>
      </c>
      <c r="E2276" s="12">
        <v>21598</v>
      </c>
      <c r="F2276" s="12">
        <v>21598</v>
      </c>
    </row>
    <row r="2277" spans="1:6" ht="12.75">
      <c r="A2277" s="153" t="s">
        <v>24</v>
      </c>
      <c r="B2277" s="167">
        <f t="shared" si="38"/>
        <v>2235.8799999999997</v>
      </c>
      <c r="C2277" s="12">
        <v>234.18</v>
      </c>
      <c r="D2277" s="12">
        <v>565.39</v>
      </c>
      <c r="E2277" s="12">
        <v>691.92</v>
      </c>
      <c r="F2277" s="12">
        <v>744.39</v>
      </c>
    </row>
    <row r="2278" spans="1:6" ht="12.75">
      <c r="A2278" s="153" t="s">
        <v>17</v>
      </c>
      <c r="B2278" s="167">
        <f t="shared" si="38"/>
        <v>0</v>
      </c>
      <c r="C2278" s="12"/>
      <c r="D2278" s="12"/>
      <c r="E2278" s="12"/>
      <c r="F2278" s="12"/>
    </row>
    <row r="2279" spans="1:6" ht="12.75">
      <c r="A2279" s="153" t="s">
        <v>277</v>
      </c>
      <c r="B2279" s="167">
        <f t="shared" si="38"/>
        <v>1485</v>
      </c>
      <c r="C2279" s="12"/>
      <c r="D2279" s="12">
        <v>1485</v>
      </c>
      <c r="E2279" s="12"/>
      <c r="F2279" s="12"/>
    </row>
    <row r="2280" spans="1:6" ht="12.75">
      <c r="A2280" s="153" t="s">
        <v>65</v>
      </c>
      <c r="B2280" s="167">
        <f t="shared" si="38"/>
        <v>0</v>
      </c>
      <c r="C2280" s="12"/>
      <c r="D2280" s="12"/>
      <c r="E2280" s="12"/>
      <c r="F2280" s="12"/>
    </row>
    <row r="2281" spans="1:6" ht="12.75">
      <c r="A2281" s="153" t="s">
        <v>430</v>
      </c>
      <c r="B2281" s="167">
        <f t="shared" si="38"/>
        <v>10149</v>
      </c>
      <c r="C2281" s="12"/>
      <c r="D2281" s="12">
        <v>3656</v>
      </c>
      <c r="E2281" s="12">
        <v>6493</v>
      </c>
      <c r="F2281" s="12"/>
    </row>
    <row r="2282" spans="1:6" ht="12.75">
      <c r="A2282" s="153" t="s">
        <v>95</v>
      </c>
      <c r="B2282" s="167">
        <f t="shared" si="38"/>
        <v>4631</v>
      </c>
      <c r="C2282" s="12"/>
      <c r="D2282" s="12">
        <v>4631</v>
      </c>
      <c r="E2282" s="12"/>
      <c r="F2282" s="12"/>
    </row>
    <row r="2283" spans="1:6" ht="12.75">
      <c r="A2283" s="155" t="s">
        <v>11</v>
      </c>
      <c r="B2283" s="166">
        <f t="shared" si="38"/>
        <v>262791.38926408</v>
      </c>
      <c r="C2283" s="157">
        <f>C2272+C2274</f>
        <v>59432.144503999996</v>
      </c>
      <c r="D2283" s="157">
        <f>D2272+D2274</f>
        <v>67709.58424</v>
      </c>
      <c r="E2283" s="157">
        <f>E2272+E2274</f>
        <v>74239.800432</v>
      </c>
      <c r="F2283" s="157">
        <f>F2272+F2274</f>
        <v>61409.86008808</v>
      </c>
    </row>
    <row r="2284" spans="1:6" ht="21.75">
      <c r="A2284" s="159" t="s">
        <v>18</v>
      </c>
      <c r="B2284" s="167">
        <f t="shared" si="38"/>
        <v>0</v>
      </c>
      <c r="C2284" s="12"/>
      <c r="D2284" s="12"/>
      <c r="E2284" s="12"/>
      <c r="F2284" s="12"/>
    </row>
    <row r="2285" spans="1:6" ht="12.75">
      <c r="A2285" s="153" t="s">
        <v>23</v>
      </c>
      <c r="B2285" s="167">
        <f t="shared" si="38"/>
        <v>92850.789464</v>
      </c>
      <c r="C2285" s="165">
        <f>5.3352*C2266</f>
        <v>20200.774464000002</v>
      </c>
      <c r="D2285" s="12">
        <f>6.1735*C2266</f>
        <v>23374.84652</v>
      </c>
      <c r="E2285" s="12">
        <f>6.4099*E2266</f>
        <v>24269.932568000004</v>
      </c>
      <c r="F2285" s="12">
        <f>6.6041*F2266</f>
        <v>25005.235912</v>
      </c>
    </row>
    <row r="2286" spans="1:6" ht="12.75">
      <c r="A2286" s="153" t="s">
        <v>100</v>
      </c>
      <c r="B2286" s="167">
        <f t="shared" si="38"/>
        <v>0</v>
      </c>
      <c r="C2286" s="12"/>
      <c r="D2286" s="12"/>
      <c r="E2286" s="12"/>
      <c r="F2286" s="12"/>
    </row>
    <row r="2287" spans="1:6" ht="12.75">
      <c r="A2287" s="153" t="s">
        <v>114</v>
      </c>
      <c r="B2287" s="167">
        <f t="shared" si="38"/>
        <v>0</v>
      </c>
      <c r="C2287" s="12"/>
      <c r="D2287" s="12"/>
      <c r="E2287" s="12"/>
      <c r="F2287" s="12"/>
    </row>
    <row r="2288" spans="1:6" ht="12.75">
      <c r="A2288" s="153" t="s">
        <v>298</v>
      </c>
      <c r="B2288" s="167">
        <f t="shared" si="38"/>
        <v>145919</v>
      </c>
      <c r="C2288" s="12"/>
      <c r="D2288" s="12">
        <v>131771</v>
      </c>
      <c r="E2288" s="12">
        <v>14148</v>
      </c>
      <c r="F2288" s="12"/>
    </row>
    <row r="2289" spans="1:6" ht="12.75">
      <c r="A2289" s="153" t="s">
        <v>30</v>
      </c>
      <c r="B2289" s="167">
        <f t="shared" si="38"/>
        <v>0</v>
      </c>
      <c r="C2289" s="12"/>
      <c r="D2289" s="12"/>
      <c r="E2289" s="12"/>
      <c r="F2289" s="12"/>
    </row>
    <row r="2290" spans="1:6" ht="12.75">
      <c r="A2290" s="153" t="s">
        <v>28</v>
      </c>
      <c r="B2290" s="167">
        <f t="shared" si="38"/>
        <v>0</v>
      </c>
      <c r="C2290" s="12"/>
      <c r="D2290" s="12"/>
      <c r="E2290" s="12"/>
      <c r="F2290" s="12"/>
    </row>
    <row r="2291" spans="1:6" ht="12.75">
      <c r="A2291" s="153" t="s">
        <v>41</v>
      </c>
      <c r="B2291" s="167">
        <f t="shared" si="38"/>
        <v>1320</v>
      </c>
      <c r="C2291" s="12"/>
      <c r="D2291" s="12">
        <v>1320</v>
      </c>
      <c r="E2291" s="12"/>
      <c r="F2291" s="12"/>
    </row>
    <row r="2292" spans="1:6" ht="12.75">
      <c r="A2292" s="153" t="s">
        <v>50</v>
      </c>
      <c r="B2292" s="167">
        <f t="shared" si="38"/>
        <v>0</v>
      </c>
      <c r="C2292" s="12"/>
      <c r="D2292" s="12"/>
      <c r="E2292" s="12"/>
      <c r="F2292" s="12"/>
    </row>
    <row r="2293" spans="1:6" ht="12.75">
      <c r="A2293" s="153" t="s">
        <v>52</v>
      </c>
      <c r="B2293" s="167">
        <f t="shared" si="38"/>
        <v>0</v>
      </c>
      <c r="C2293" s="12"/>
      <c r="D2293" s="12"/>
      <c r="E2293" s="12"/>
      <c r="F2293" s="12"/>
    </row>
    <row r="2294" spans="1:6" ht="22.5">
      <c r="A2294" s="153" t="s">
        <v>225</v>
      </c>
      <c r="B2294" s="167">
        <f t="shared" si="38"/>
        <v>542.68</v>
      </c>
      <c r="C2294" s="12">
        <v>542.68</v>
      </c>
      <c r="D2294" s="12"/>
      <c r="E2294" s="12"/>
      <c r="F2294" s="12"/>
    </row>
    <row r="2295" spans="1:6" ht="12.75">
      <c r="A2295" s="153" t="s">
        <v>27</v>
      </c>
      <c r="B2295" s="167">
        <f t="shared" si="38"/>
        <v>152</v>
      </c>
      <c r="C2295" s="12"/>
      <c r="D2295" s="12"/>
      <c r="E2295" s="12">
        <v>152</v>
      </c>
      <c r="F2295" s="12"/>
    </row>
    <row r="2296" spans="1:6" ht="12.75">
      <c r="A2296" s="153" t="s">
        <v>453</v>
      </c>
      <c r="B2296" s="167">
        <f t="shared" si="38"/>
        <v>952</v>
      </c>
      <c r="C2296" s="12"/>
      <c r="D2296" s="12"/>
      <c r="E2296" s="12"/>
      <c r="F2296" s="12">
        <v>952</v>
      </c>
    </row>
    <row r="2297" spans="1:6" ht="12.75">
      <c r="A2297" s="153" t="s">
        <v>47</v>
      </c>
      <c r="B2297" s="167">
        <f t="shared" si="38"/>
        <v>0</v>
      </c>
      <c r="C2297" s="12"/>
      <c r="D2297" s="12"/>
      <c r="E2297" s="12"/>
      <c r="F2297" s="12"/>
    </row>
    <row r="2298" spans="1:6" ht="12.75">
      <c r="A2298" s="153" t="s">
        <v>428</v>
      </c>
      <c r="B2298" s="167">
        <f t="shared" si="38"/>
        <v>4200</v>
      </c>
      <c r="C2298" s="12"/>
      <c r="D2298" s="12">
        <v>4200</v>
      </c>
      <c r="E2298" s="12"/>
      <c r="F2298" s="12"/>
    </row>
    <row r="2299" spans="1:6" ht="12.75">
      <c r="A2299" s="153" t="s">
        <v>429</v>
      </c>
      <c r="B2299" s="167">
        <f t="shared" si="38"/>
        <v>26040</v>
      </c>
      <c r="C2299" s="12"/>
      <c r="D2299" s="12"/>
      <c r="E2299" s="12">
        <v>26040</v>
      </c>
      <c r="F2299" s="12"/>
    </row>
    <row r="2300" spans="1:6" ht="12.75">
      <c r="A2300" s="153" t="s">
        <v>72</v>
      </c>
      <c r="B2300" s="167">
        <f t="shared" si="38"/>
        <v>0</v>
      </c>
      <c r="C2300" s="12"/>
      <c r="D2300" s="12"/>
      <c r="E2300" s="12"/>
      <c r="F2300" s="12"/>
    </row>
    <row r="2301" spans="1:6" ht="12.75">
      <c r="A2301" s="153" t="s">
        <v>153</v>
      </c>
      <c r="B2301" s="167">
        <f t="shared" si="38"/>
        <v>0</v>
      </c>
      <c r="C2301" s="12"/>
      <c r="D2301" s="12"/>
      <c r="E2301" s="12"/>
      <c r="F2301" s="12"/>
    </row>
    <row r="2302" spans="1:6" ht="12.75">
      <c r="A2302" s="153" t="s">
        <v>299</v>
      </c>
      <c r="B2302" s="167">
        <f t="shared" si="38"/>
        <v>33125</v>
      </c>
      <c r="C2302" s="12"/>
      <c r="D2302" s="12">
        <v>33000</v>
      </c>
      <c r="E2302" s="12">
        <v>125</v>
      </c>
      <c r="F2302" s="12"/>
    </row>
    <row r="2303" spans="1:6" ht="12.75">
      <c r="A2303" s="153" t="s">
        <v>232</v>
      </c>
      <c r="B2303" s="167">
        <f t="shared" si="38"/>
        <v>6</v>
      </c>
      <c r="C2303" s="12">
        <v>6</v>
      </c>
      <c r="D2303" s="12"/>
      <c r="E2303" s="12"/>
      <c r="F2303" s="12"/>
    </row>
    <row r="2304" spans="1:6" ht="12.75">
      <c r="A2304" s="153" t="s">
        <v>497</v>
      </c>
      <c r="B2304" s="167">
        <f t="shared" si="38"/>
        <v>0</v>
      </c>
      <c r="C2304" s="12"/>
      <c r="D2304" s="12"/>
      <c r="E2304" s="12"/>
      <c r="F2304" s="30">
        <v>0</v>
      </c>
    </row>
    <row r="2305" spans="1:6" ht="12.75">
      <c r="A2305" s="155" t="s">
        <v>11</v>
      </c>
      <c r="B2305" s="166">
        <f t="shared" si="38"/>
        <v>305107.469464</v>
      </c>
      <c r="C2305" s="157">
        <f>C2285+C2286+C2287+C2289+C2290+C2291+C2292+C2293+C2294+C2295+C2296+C2297+C2298+C2299+C2300+C2301+C2302+C2303+C2304</f>
        <v>20749.454464000002</v>
      </c>
      <c r="D2305" s="157">
        <f>SUM(D2285:D2304)</f>
        <v>193665.84652</v>
      </c>
      <c r="E2305" s="157">
        <f>SUM(E2285:E2304)</f>
        <v>64734.932568000004</v>
      </c>
      <c r="F2305" s="157">
        <f>SUM(F2285:F2304)</f>
        <v>25957.235912</v>
      </c>
    </row>
    <row r="2306" spans="1:6" ht="12.75">
      <c r="A2306" s="155" t="s">
        <v>19</v>
      </c>
      <c r="B2306" s="167">
        <f t="shared" si="38"/>
        <v>0</v>
      </c>
      <c r="C2306" s="12"/>
      <c r="D2306" s="12"/>
      <c r="E2306" s="12"/>
      <c r="F2306" s="12"/>
    </row>
    <row r="2307" spans="1:6" ht="12.75">
      <c r="A2307" s="153" t="s">
        <v>38</v>
      </c>
      <c r="B2307" s="167">
        <f t="shared" si="38"/>
        <v>3196.4900994560003</v>
      </c>
      <c r="C2307" s="12">
        <f>0.218666*C2266</f>
        <v>827.9394491200001</v>
      </c>
      <c r="D2307" s="12">
        <f>0.2140458*C2266</f>
        <v>810.445893456</v>
      </c>
      <c r="E2307" s="12">
        <f>0.167241*E2266</f>
        <v>633.2279431200001</v>
      </c>
      <c r="F2307" s="12">
        <f>0.244268*F2266</f>
        <v>924.8768137600001</v>
      </c>
    </row>
    <row r="2308" spans="1:6" ht="12.75">
      <c r="A2308" s="153" t="s">
        <v>39</v>
      </c>
      <c r="B2308" s="167">
        <f t="shared" si="38"/>
        <v>6311.488748080001</v>
      </c>
      <c r="C2308" s="12">
        <f>0.306583*C2266</f>
        <v>1160.82134456</v>
      </c>
      <c r="D2308" s="12">
        <f>0.0733554*C2266</f>
        <v>277.74701812800004</v>
      </c>
      <c r="E2308" s="12">
        <f>0.536065*E2266</f>
        <v>2029.7136308000001</v>
      </c>
      <c r="F2308" s="12">
        <f>0.7509156*F2266</f>
        <v>2843.2067545920004</v>
      </c>
    </row>
    <row r="2309" spans="1:6" ht="12.75">
      <c r="A2309" s="153" t="s">
        <v>32</v>
      </c>
      <c r="B2309" s="167">
        <f t="shared" si="38"/>
        <v>0</v>
      </c>
      <c r="C2309" s="12"/>
      <c r="D2309" s="12"/>
      <c r="E2309" s="12"/>
      <c r="F2309" s="12"/>
    </row>
    <row r="2310" spans="1:6" ht="12.75">
      <c r="A2310" s="153" t="s">
        <v>37</v>
      </c>
      <c r="B2310" s="167">
        <f t="shared" si="38"/>
        <v>8154.0476103360015</v>
      </c>
      <c r="C2310" s="12">
        <f>0.70476*C2266</f>
        <v>2668.4468832000002</v>
      </c>
      <c r="D2310" s="12">
        <f>0.3731258*C2266</f>
        <v>1412.773679056</v>
      </c>
      <c r="E2310" s="12">
        <f>0.553205*E2266</f>
        <v>2094.6111556</v>
      </c>
      <c r="F2310" s="12">
        <f>0.522464*F2266</f>
        <v>1978.2158924800003</v>
      </c>
    </row>
    <row r="2311" spans="1:6" ht="12.75">
      <c r="A2311" s="153" t="s">
        <v>20</v>
      </c>
      <c r="B2311" s="167">
        <f t="shared" si="38"/>
        <v>3015.15263296</v>
      </c>
      <c r="C2311" s="12"/>
      <c r="D2311" s="12">
        <f>0.158142*C2266</f>
        <v>598.7762174400001</v>
      </c>
      <c r="E2311" s="12">
        <f>0.60489*E2266</f>
        <v>2290.3071048</v>
      </c>
      <c r="F2311" s="12">
        <f>0.033296*F2266</f>
        <v>126.06931072</v>
      </c>
    </row>
    <row r="2312" spans="1:6" ht="12.75">
      <c r="A2312" s="153" t="s">
        <v>73</v>
      </c>
      <c r="B2312" s="167">
        <f t="shared" si="38"/>
        <v>0</v>
      </c>
      <c r="C2312" s="12"/>
      <c r="D2312" s="12"/>
      <c r="E2312" s="12"/>
      <c r="F2312" s="12"/>
    </row>
    <row r="2313" spans="1:6" ht="12.75">
      <c r="A2313" s="156" t="s">
        <v>11</v>
      </c>
      <c r="B2313" s="166">
        <f t="shared" si="38"/>
        <v>20677.179090832004</v>
      </c>
      <c r="C2313" s="157">
        <f>C2307+C2308+C2309+C2310+C2311</f>
        <v>4657.20767688</v>
      </c>
      <c r="D2313" s="157">
        <f>SUM(D2307:D2312)</f>
        <v>3099.74280808</v>
      </c>
      <c r="E2313" s="157">
        <f>SUM(E2307:E2312)</f>
        <v>7047.859834320001</v>
      </c>
      <c r="F2313" s="157">
        <f>SUM(F2307:F2312)</f>
        <v>5872.368771552001</v>
      </c>
    </row>
    <row r="2314" spans="1:6" ht="12.75">
      <c r="A2314" s="153" t="s">
        <v>101</v>
      </c>
      <c r="B2314" s="167">
        <f t="shared" si="38"/>
        <v>2470.94797952</v>
      </c>
      <c r="C2314" s="157">
        <f>0.0644*C2266</f>
        <v>243.839008</v>
      </c>
      <c r="D2314" s="12">
        <v>210</v>
      </c>
      <c r="E2314" s="12">
        <f>0.10264*E2266</f>
        <v>388.6278848</v>
      </c>
      <c r="F2314" s="12">
        <f>0.430096*F2266</f>
        <v>1628.48108672</v>
      </c>
    </row>
    <row r="2315" spans="1:6" ht="33.75">
      <c r="A2315" s="161" t="s">
        <v>21</v>
      </c>
      <c r="B2315" s="166">
        <f t="shared" si="38"/>
        <v>590658.3579136321</v>
      </c>
      <c r="C2315" s="157">
        <f>C2283+C2305+C2313+C2314</f>
        <v>85082.64565288</v>
      </c>
      <c r="D2315" s="157">
        <f>D2283+D2305+D2313+D2314</f>
        <v>264685.17356808</v>
      </c>
      <c r="E2315" s="157">
        <f>E2283+E2305+E2313</f>
        <v>146022.59283432</v>
      </c>
      <c r="F2315" s="157">
        <f>F2283+F2305+F2313+F2314</f>
        <v>94867.945858352</v>
      </c>
    </row>
    <row r="2316" spans="1:6" ht="45">
      <c r="A2316" s="161" t="s">
        <v>22</v>
      </c>
      <c r="B2316" s="162">
        <f>B2315/12/C2266</f>
        <v>12.999833565608824</v>
      </c>
      <c r="C2316" s="14">
        <f>C2315/C2266/3</f>
        <v>7.4903552484452804</v>
      </c>
      <c r="D2316" s="14">
        <f>D2315/3/C2266</f>
        <v>23.301884465486275</v>
      </c>
      <c r="E2316" s="14">
        <f>E2315/3/C2266</f>
        <v>12.855278373576454</v>
      </c>
      <c r="F2316" s="14">
        <f>F2315/3/C2266</f>
        <v>8.351816174927283</v>
      </c>
    </row>
    <row r="2317" spans="1:6" ht="12.75">
      <c r="A2317" s="163" t="s">
        <v>34</v>
      </c>
      <c r="B2317" s="154">
        <f>B2270-B2315</f>
        <v>-240591.20791363204</v>
      </c>
      <c r="C2317" s="165">
        <f>C2270-C2315</f>
        <v>-10073.735652880001</v>
      </c>
      <c r="D2317" s="12">
        <f>D2270-D2315-10074</f>
        <v>-196701.50356808002</v>
      </c>
      <c r="E2317" s="12">
        <f>E2270-E2315-196702</f>
        <v>-225433.67283432</v>
      </c>
      <c r="F2317" s="12">
        <f>F2270-F2315-225434</f>
        <v>-240592.295858352</v>
      </c>
    </row>
    <row r="2318" spans="1:6" ht="12.75">
      <c r="A2318" s="29" t="s">
        <v>44</v>
      </c>
      <c r="B2318" s="29"/>
      <c r="C2318" s="29"/>
      <c r="D2318" s="29"/>
      <c r="E2318" s="29"/>
      <c r="F2318" s="29"/>
    </row>
    <row r="2319" spans="1:6" ht="12.75">
      <c r="A2319" s="29" t="s">
        <v>45</v>
      </c>
      <c r="B2319" s="29"/>
      <c r="C2319" s="29"/>
      <c r="D2319" s="29"/>
      <c r="E2319" s="29"/>
      <c r="F2319" s="29"/>
    </row>
    <row r="2320" spans="1:6" ht="12.75">
      <c r="A2320" s="29" t="s">
        <v>579</v>
      </c>
      <c r="B2320" s="29"/>
      <c r="C2320" s="29"/>
      <c r="D2320" s="29"/>
      <c r="E2320" s="29"/>
      <c r="F2320" s="29"/>
    </row>
    <row r="2321" spans="1:6" ht="286.5" customHeight="1">
      <c r="A2321" s="29"/>
      <c r="B2321" s="29"/>
      <c r="C2321" s="29"/>
      <c r="D2321" s="29"/>
      <c r="E2321" s="29"/>
      <c r="F2321" s="29"/>
    </row>
    <row r="2322" spans="1:6" ht="12.75">
      <c r="A2322" s="120" t="s">
        <v>35</v>
      </c>
      <c r="B2322" s="120"/>
      <c r="C2322" s="29"/>
      <c r="D2322" s="29"/>
      <c r="E2322" s="29"/>
      <c r="F2322" s="29"/>
    </row>
    <row r="2323" spans="1:6" ht="12.75">
      <c r="A2323" s="29" t="s">
        <v>616</v>
      </c>
      <c r="B2323" s="29"/>
      <c r="C2323" s="29"/>
      <c r="D2323" s="29"/>
      <c r="E2323" s="29"/>
      <c r="F2323" s="29"/>
    </row>
    <row r="2324" spans="1:6" ht="12.75">
      <c r="A2324" s="29" t="s">
        <v>224</v>
      </c>
      <c r="B2324" s="29"/>
      <c r="C2324" s="29"/>
      <c r="D2324" s="29"/>
      <c r="E2324" s="29"/>
      <c r="F2324" s="29"/>
    </row>
    <row r="2325" spans="1:6" ht="12.75">
      <c r="A2325" s="29" t="s">
        <v>77</v>
      </c>
      <c r="B2325" s="29"/>
      <c r="C2325" s="29"/>
      <c r="D2325" s="29"/>
      <c r="E2325" s="29" t="s">
        <v>340</v>
      </c>
      <c r="F2325" s="29"/>
    </row>
    <row r="2326" spans="1:6" ht="12.75">
      <c r="A2326" s="10" t="s">
        <v>1</v>
      </c>
      <c r="B2326" s="10" t="s">
        <v>11</v>
      </c>
      <c r="C2326" s="10" t="s">
        <v>86</v>
      </c>
      <c r="D2326" s="10" t="s">
        <v>87</v>
      </c>
      <c r="E2326" s="10" t="s">
        <v>120</v>
      </c>
      <c r="F2326" s="10" t="s">
        <v>141</v>
      </c>
    </row>
    <row r="2327" spans="1:6" ht="12.75">
      <c r="A2327" s="22" t="s">
        <v>6</v>
      </c>
      <c r="B2327" s="22"/>
      <c r="C2327" s="10"/>
      <c r="D2327" s="5"/>
      <c r="E2327" s="5"/>
      <c r="F2327" s="5"/>
    </row>
    <row r="2328" spans="1:6" ht="12.75">
      <c r="A2328" s="5" t="s">
        <v>2</v>
      </c>
      <c r="B2328" s="5"/>
      <c r="C2328" s="10">
        <v>5</v>
      </c>
      <c r="D2328" s="5"/>
      <c r="E2328" s="5"/>
      <c r="F2328" s="5"/>
    </row>
    <row r="2329" spans="1:6" ht="12.75">
      <c r="A2329" s="5" t="s">
        <v>3</v>
      </c>
      <c r="B2329" s="5"/>
      <c r="C2329" s="10">
        <v>6</v>
      </c>
      <c r="D2329" s="5"/>
      <c r="E2329" s="5"/>
      <c r="F2329" s="5"/>
    </row>
    <row r="2330" spans="1:6" ht="12.75">
      <c r="A2330" s="5" t="s">
        <v>4</v>
      </c>
      <c r="B2330" s="5"/>
      <c r="C2330" s="10">
        <v>79</v>
      </c>
      <c r="D2330" s="5"/>
      <c r="E2330" s="5"/>
      <c r="F2330" s="5"/>
    </row>
    <row r="2331" spans="1:6" ht="12.75">
      <c r="A2331" s="5" t="s">
        <v>5</v>
      </c>
      <c r="B2331" s="10">
        <v>3739.54</v>
      </c>
      <c r="C2331" s="10">
        <v>3739.54</v>
      </c>
      <c r="D2331" s="10">
        <v>3739.54</v>
      </c>
      <c r="E2331" s="10">
        <v>3739.54</v>
      </c>
      <c r="F2331" s="10">
        <v>3739.54</v>
      </c>
    </row>
    <row r="2332" spans="1:6" ht="22.5">
      <c r="A2332" s="150" t="s">
        <v>7</v>
      </c>
      <c r="B2332" s="150"/>
      <c r="C2332" s="5" t="s">
        <v>36</v>
      </c>
      <c r="D2332" s="5"/>
      <c r="E2332" s="5"/>
      <c r="F2332" s="5"/>
    </row>
    <row r="2333" spans="1:6" ht="22.5">
      <c r="A2333" s="151" t="s">
        <v>8</v>
      </c>
      <c r="B2333" s="6">
        <f>C2333+D2333+E2333+F2333</f>
        <v>430373.69000000006</v>
      </c>
      <c r="C2333" s="10">
        <v>110143.29</v>
      </c>
      <c r="D2333" s="10">
        <v>119833.97</v>
      </c>
      <c r="E2333" s="10">
        <v>95695.66</v>
      </c>
      <c r="F2333" s="10">
        <v>104700.77</v>
      </c>
    </row>
    <row r="2334" spans="1:6" ht="22.5">
      <c r="A2334" s="153" t="s">
        <v>9</v>
      </c>
      <c r="B2334" s="6">
        <f>C2334+D2334+E2334+F2334</f>
        <v>0</v>
      </c>
      <c r="C2334" s="10">
        <v>0</v>
      </c>
      <c r="D2334" s="10">
        <v>0</v>
      </c>
      <c r="E2334" s="10">
        <v>0</v>
      </c>
      <c r="F2334" s="10">
        <v>0</v>
      </c>
    </row>
    <row r="2335" spans="1:6" ht="12.75">
      <c r="A2335" s="5" t="s">
        <v>11</v>
      </c>
      <c r="B2335" s="150">
        <f>C2335+D2335+E2335+F2335</f>
        <v>430373.69000000006</v>
      </c>
      <c r="C2335" s="22">
        <f>C2333+C2334</f>
        <v>110143.29</v>
      </c>
      <c r="D2335" s="22">
        <f>SUM(D2333:D2334)</f>
        <v>119833.97</v>
      </c>
      <c r="E2335" s="22">
        <f>SUM(E2333:E2334)</f>
        <v>95695.66</v>
      </c>
      <c r="F2335" s="22">
        <f>SUM(F2333:F2334)</f>
        <v>104700.77</v>
      </c>
    </row>
    <row r="2336" spans="1:6" ht="22.5">
      <c r="A2336" s="150" t="s">
        <v>12</v>
      </c>
      <c r="B2336" s="150"/>
      <c r="C2336" s="5"/>
      <c r="D2336" s="5"/>
      <c r="E2336" s="5"/>
      <c r="F2336" s="5"/>
    </row>
    <row r="2337" spans="1:7" ht="12.75">
      <c r="A2337" s="156" t="s">
        <v>13</v>
      </c>
      <c r="B2337" s="166">
        <f>C2337+D2337+E2337+F2337</f>
        <v>118083.33865426</v>
      </c>
      <c r="C2337" s="157">
        <f>7.5947*C2331</f>
        <v>28400.684437999997</v>
      </c>
      <c r="D2337" s="157">
        <f>7.632*C2331</f>
        <v>28540.16928</v>
      </c>
      <c r="E2337" s="157">
        <f>8.5526*E2331</f>
        <v>31982.789804</v>
      </c>
      <c r="F2337" s="157">
        <f>7.797669*F2331</f>
        <v>29159.69513226</v>
      </c>
      <c r="G2337" s="8"/>
    </row>
    <row r="2338" spans="1:6" ht="21.75">
      <c r="A2338" s="156" t="s">
        <v>14</v>
      </c>
      <c r="B2338" s="167">
        <f aca="true" t="shared" si="39" ref="B2338:B2379">C2338+D2338+E2338+F2338</f>
        <v>0</v>
      </c>
      <c r="C2338" s="12"/>
      <c r="D2338" s="12"/>
      <c r="E2338" s="12"/>
      <c r="F2338" s="12"/>
    </row>
    <row r="2339" spans="1:6" ht="12.75">
      <c r="A2339" s="153" t="s">
        <v>15</v>
      </c>
      <c r="B2339" s="167">
        <f t="shared" si="39"/>
        <v>140844.22999999998</v>
      </c>
      <c r="C2339" s="12">
        <f>C2340+C2342</f>
        <v>30345.15</v>
      </c>
      <c r="D2339" s="12">
        <f>D2340+D2342+D2343+D2344+D2345+D2346+D2347</f>
        <v>39016</v>
      </c>
      <c r="E2339" s="12">
        <f>E2340+E2342+E2343+E2344+E2345+E2346+E2347</f>
        <v>39515.77</v>
      </c>
      <c r="F2339" s="12">
        <f>F2340+F2342+F2343+F2344+F2345+F2346+F2347</f>
        <v>31967.31</v>
      </c>
    </row>
    <row r="2340" spans="1:6" ht="12.75">
      <c r="A2340" s="158" t="s">
        <v>16</v>
      </c>
      <c r="B2340" s="167">
        <f t="shared" si="39"/>
        <v>124379</v>
      </c>
      <c r="C2340" s="165">
        <v>30114</v>
      </c>
      <c r="D2340" s="12">
        <v>28313</v>
      </c>
      <c r="E2340" s="12">
        <v>34720</v>
      </c>
      <c r="F2340" s="12">
        <v>31232</v>
      </c>
    </row>
    <row r="2341" spans="1:6" ht="12.75">
      <c r="A2341" s="153" t="s">
        <v>33</v>
      </c>
      <c r="B2341" s="167">
        <f t="shared" si="39"/>
        <v>80608</v>
      </c>
      <c r="C2341" s="165">
        <v>17835</v>
      </c>
      <c r="D2341" s="12">
        <v>19159</v>
      </c>
      <c r="E2341" s="12">
        <v>21807</v>
      </c>
      <c r="F2341" s="12">
        <v>21807</v>
      </c>
    </row>
    <row r="2342" spans="1:6" ht="12.75">
      <c r="A2342" s="153" t="s">
        <v>24</v>
      </c>
      <c r="B2342" s="167">
        <f t="shared" si="39"/>
        <v>2207.23</v>
      </c>
      <c r="C2342" s="12">
        <v>231.15</v>
      </c>
      <c r="D2342" s="12">
        <v>558</v>
      </c>
      <c r="E2342" s="12">
        <v>682.77</v>
      </c>
      <c r="F2342" s="12">
        <v>735.31</v>
      </c>
    </row>
    <row r="2343" spans="1:6" ht="12.75">
      <c r="A2343" s="153" t="s">
        <v>17</v>
      </c>
      <c r="B2343" s="167">
        <f t="shared" si="39"/>
        <v>0</v>
      </c>
      <c r="C2343" s="12"/>
      <c r="D2343" s="12"/>
      <c r="E2343" s="12"/>
      <c r="F2343" s="12"/>
    </row>
    <row r="2344" spans="1:6" ht="12.75">
      <c r="A2344" s="153" t="s">
        <v>277</v>
      </c>
      <c r="B2344" s="167">
        <f t="shared" si="39"/>
        <v>1628</v>
      </c>
      <c r="C2344" s="12"/>
      <c r="D2344" s="12">
        <v>1628</v>
      </c>
      <c r="E2344" s="12"/>
      <c r="F2344" s="12"/>
    </row>
    <row r="2345" spans="1:6" ht="12.75">
      <c r="A2345" s="153" t="s">
        <v>65</v>
      </c>
      <c r="B2345" s="167">
        <f t="shared" si="39"/>
        <v>0</v>
      </c>
      <c r="C2345" s="12"/>
      <c r="D2345" s="12"/>
      <c r="E2345" s="12"/>
      <c r="F2345" s="12"/>
    </row>
    <row r="2346" spans="1:6" ht="12.75">
      <c r="A2346" s="153" t="s">
        <v>431</v>
      </c>
      <c r="B2346" s="167">
        <f t="shared" si="39"/>
        <v>7769</v>
      </c>
      <c r="C2346" s="12"/>
      <c r="D2346" s="12">
        <v>3656</v>
      </c>
      <c r="E2346" s="12">
        <v>4113</v>
      </c>
      <c r="F2346" s="12"/>
    </row>
    <row r="2347" spans="1:6" ht="12.75">
      <c r="A2347" s="153" t="s">
        <v>106</v>
      </c>
      <c r="B2347" s="167">
        <f t="shared" si="39"/>
        <v>4861</v>
      </c>
      <c r="C2347" s="12"/>
      <c r="D2347" s="12">
        <v>4861</v>
      </c>
      <c r="E2347" s="12"/>
      <c r="F2347" s="12"/>
    </row>
    <row r="2348" spans="1:6" ht="12.75">
      <c r="A2348" s="155" t="s">
        <v>11</v>
      </c>
      <c r="B2348" s="166">
        <f t="shared" si="39"/>
        <v>258927.56865426</v>
      </c>
      <c r="C2348" s="157">
        <f>C2337+C2339</f>
        <v>58745.834438</v>
      </c>
      <c r="D2348" s="157">
        <f>D2337+D2339</f>
        <v>67556.16928</v>
      </c>
      <c r="E2348" s="157">
        <f>E2337+E2339</f>
        <v>71498.55980399999</v>
      </c>
      <c r="F2348" s="157">
        <f>F2337+F2339</f>
        <v>61127.005132260005</v>
      </c>
    </row>
    <row r="2349" spans="1:6" ht="21.75">
      <c r="A2349" s="159" t="s">
        <v>18</v>
      </c>
      <c r="B2349" s="167">
        <f t="shared" si="39"/>
        <v>0</v>
      </c>
      <c r="C2349" s="12"/>
      <c r="D2349" s="12"/>
      <c r="E2349" s="12"/>
      <c r="F2349" s="12"/>
    </row>
    <row r="2350" spans="1:6" ht="12.75">
      <c r="A2350" s="153" t="s">
        <v>23</v>
      </c>
      <c r="B2350" s="167">
        <f t="shared" si="39"/>
        <v>91703.617558</v>
      </c>
      <c r="C2350" s="165">
        <f>5.3352*C2331</f>
        <v>19951.193808</v>
      </c>
      <c r="D2350" s="12">
        <f>6.1735*C2331</f>
        <v>23086.050189999998</v>
      </c>
      <c r="E2350" s="12">
        <f>6.4099*E2331</f>
        <v>23970.077446000003</v>
      </c>
      <c r="F2350" s="12">
        <f>6.6041*F2331</f>
        <v>24696.296114</v>
      </c>
    </row>
    <row r="2351" spans="1:6" ht="12.75">
      <c r="A2351" s="153" t="s">
        <v>300</v>
      </c>
      <c r="B2351" s="167">
        <f t="shared" si="39"/>
        <v>3680</v>
      </c>
      <c r="C2351" s="12"/>
      <c r="D2351" s="12">
        <v>3680</v>
      </c>
      <c r="E2351" s="12"/>
      <c r="F2351" s="12"/>
    </row>
    <row r="2352" spans="1:6" ht="12.75">
      <c r="A2352" s="153" t="s">
        <v>62</v>
      </c>
      <c r="B2352" s="167">
        <f t="shared" si="39"/>
        <v>0</v>
      </c>
      <c r="C2352" s="12"/>
      <c r="D2352" s="12"/>
      <c r="E2352" s="12"/>
      <c r="F2352" s="12"/>
    </row>
    <row r="2353" spans="1:6" ht="12.75">
      <c r="A2353" s="153" t="s">
        <v>30</v>
      </c>
      <c r="B2353" s="167">
        <f t="shared" si="39"/>
        <v>64861.25</v>
      </c>
      <c r="C2353" s="12">
        <v>17982.25</v>
      </c>
      <c r="D2353" s="12">
        <v>10731</v>
      </c>
      <c r="E2353" s="12">
        <v>17229</v>
      </c>
      <c r="F2353" s="12">
        <v>18919</v>
      </c>
    </row>
    <row r="2354" spans="1:6" ht="12.75">
      <c r="A2354" s="153" t="s">
        <v>28</v>
      </c>
      <c r="B2354" s="167">
        <f t="shared" si="39"/>
        <v>5637.8</v>
      </c>
      <c r="C2354" s="12"/>
      <c r="D2354" s="12">
        <v>1042.8</v>
      </c>
      <c r="E2354" s="12">
        <v>3105</v>
      </c>
      <c r="F2354" s="12">
        <v>1490</v>
      </c>
    </row>
    <row r="2355" spans="1:6" ht="12.75">
      <c r="A2355" s="153" t="s">
        <v>41</v>
      </c>
      <c r="B2355" s="167">
        <f t="shared" si="39"/>
        <v>7682</v>
      </c>
      <c r="C2355" s="12">
        <v>986</v>
      </c>
      <c r="D2355" s="12">
        <v>1397</v>
      </c>
      <c r="E2355" s="12">
        <v>5299</v>
      </c>
      <c r="F2355" s="12"/>
    </row>
    <row r="2356" spans="1:6" ht="12.75">
      <c r="A2356" s="153" t="s">
        <v>50</v>
      </c>
      <c r="B2356" s="167">
        <f t="shared" si="39"/>
        <v>15505.5</v>
      </c>
      <c r="C2356" s="12">
        <v>470</v>
      </c>
      <c r="D2356" s="12"/>
      <c r="E2356" s="12">
        <v>3405</v>
      </c>
      <c r="F2356" s="12">
        <v>11630.5</v>
      </c>
    </row>
    <row r="2357" spans="1:6" ht="12.75">
      <c r="A2357" s="153" t="s">
        <v>52</v>
      </c>
      <c r="B2357" s="167">
        <f t="shared" si="39"/>
        <v>0</v>
      </c>
      <c r="C2357" s="12"/>
      <c r="D2357" s="12"/>
      <c r="E2357" s="12"/>
      <c r="F2357" s="12"/>
    </row>
    <row r="2358" spans="1:6" ht="22.5">
      <c r="A2358" s="153" t="s">
        <v>225</v>
      </c>
      <c r="B2358" s="167">
        <f t="shared" si="39"/>
        <v>536</v>
      </c>
      <c r="C2358" s="12">
        <v>536</v>
      </c>
      <c r="D2358" s="12"/>
      <c r="E2358" s="12"/>
      <c r="F2358" s="12"/>
    </row>
    <row r="2359" spans="1:6" ht="12.75">
      <c r="A2359" s="153" t="s">
        <v>27</v>
      </c>
      <c r="B2359" s="167">
        <f t="shared" si="39"/>
        <v>419.5</v>
      </c>
      <c r="C2359" s="12"/>
      <c r="D2359" s="12">
        <v>230</v>
      </c>
      <c r="E2359" s="12">
        <v>152</v>
      </c>
      <c r="F2359" s="12">
        <v>37.5</v>
      </c>
    </row>
    <row r="2360" spans="1:6" ht="12.75">
      <c r="A2360" s="153" t="s">
        <v>301</v>
      </c>
      <c r="B2360" s="167">
        <f t="shared" si="39"/>
        <v>340</v>
      </c>
      <c r="C2360" s="12"/>
      <c r="D2360" s="12">
        <v>340</v>
      </c>
      <c r="E2360" s="12"/>
      <c r="F2360" s="12"/>
    </row>
    <row r="2361" spans="1:6" ht="12.75">
      <c r="A2361" s="153" t="s">
        <v>47</v>
      </c>
      <c r="B2361" s="167">
        <f t="shared" si="39"/>
        <v>880</v>
      </c>
      <c r="C2361" s="12"/>
      <c r="D2361" s="12"/>
      <c r="E2361" s="12">
        <v>190</v>
      </c>
      <c r="F2361" s="12">
        <v>690</v>
      </c>
    </row>
    <row r="2362" spans="1:6" ht="22.5">
      <c r="A2362" s="153" t="s">
        <v>432</v>
      </c>
      <c r="B2362" s="167">
        <f t="shared" si="39"/>
        <v>0</v>
      </c>
      <c r="C2362" s="12"/>
      <c r="D2362" s="12"/>
      <c r="E2362" s="30">
        <v>0</v>
      </c>
      <c r="F2362" s="12"/>
    </row>
    <row r="2363" spans="1:6" ht="12.75">
      <c r="A2363" s="153" t="s">
        <v>118</v>
      </c>
      <c r="B2363" s="167">
        <f t="shared" si="39"/>
        <v>0</v>
      </c>
      <c r="C2363" s="12"/>
      <c r="D2363" s="12"/>
      <c r="E2363" s="12"/>
      <c r="F2363" s="12"/>
    </row>
    <row r="2364" spans="1:6" ht="12.75">
      <c r="A2364" s="153" t="s">
        <v>72</v>
      </c>
      <c r="B2364" s="167">
        <f t="shared" si="39"/>
        <v>1348.66</v>
      </c>
      <c r="C2364" s="12">
        <v>1348.66</v>
      </c>
      <c r="D2364" s="12"/>
      <c r="E2364" s="12"/>
      <c r="F2364" s="12"/>
    </row>
    <row r="2365" spans="1:6" ht="12.75">
      <c r="A2365" s="153" t="s">
        <v>143</v>
      </c>
      <c r="B2365" s="167">
        <f t="shared" si="39"/>
        <v>0</v>
      </c>
      <c r="C2365" s="12"/>
      <c r="D2365" s="12"/>
      <c r="E2365" s="12"/>
      <c r="F2365" s="12"/>
    </row>
    <row r="2366" spans="1:6" ht="12.75">
      <c r="A2366" s="153" t="s">
        <v>453</v>
      </c>
      <c r="B2366" s="167">
        <f t="shared" si="39"/>
        <v>940</v>
      </c>
      <c r="C2366" s="12"/>
      <c r="D2366" s="12"/>
      <c r="E2366" s="12"/>
      <c r="F2366" s="12">
        <v>940</v>
      </c>
    </row>
    <row r="2367" spans="1:6" ht="12.75">
      <c r="A2367" s="153" t="s">
        <v>515</v>
      </c>
      <c r="B2367" s="167">
        <f t="shared" si="39"/>
        <v>600</v>
      </c>
      <c r="C2367" s="12"/>
      <c r="D2367" s="12"/>
      <c r="E2367" s="12"/>
      <c r="F2367" s="12">
        <v>600</v>
      </c>
    </row>
    <row r="2368" spans="1:6" ht="12.75">
      <c r="A2368" s="153" t="s">
        <v>521</v>
      </c>
      <c r="B2368" s="167">
        <f t="shared" si="39"/>
        <v>33782</v>
      </c>
      <c r="C2368" s="12"/>
      <c r="D2368" s="12"/>
      <c r="E2368" s="12"/>
      <c r="F2368" s="12">
        <v>33782</v>
      </c>
    </row>
    <row r="2369" spans="1:6" ht="12.75">
      <c r="A2369" s="155" t="s">
        <v>11</v>
      </c>
      <c r="B2369" s="166">
        <f t="shared" si="39"/>
        <v>227916.327558</v>
      </c>
      <c r="C2369" s="157">
        <f>C2350+C2351+C2352+C2353+C2354+C2355+C2356+C2357+C2358+C2359+C2360+C2361+C2362+C2363+C2364+C2365+C2366+C2367+C2368</f>
        <v>41274.103808</v>
      </c>
      <c r="D2369" s="157">
        <f>SUM(D2350:D2368)</f>
        <v>40506.85019</v>
      </c>
      <c r="E2369" s="157">
        <f>SUM(E2350:E2368)</f>
        <v>53350.077446</v>
      </c>
      <c r="F2369" s="157">
        <f>SUM(F2350:F2368)</f>
        <v>92785.296114</v>
      </c>
    </row>
    <row r="2370" spans="1:6" ht="12.75">
      <c r="A2370" s="155" t="s">
        <v>19</v>
      </c>
      <c r="B2370" s="167">
        <f t="shared" si="39"/>
        <v>0</v>
      </c>
      <c r="C2370" s="12"/>
      <c r="D2370" s="12"/>
      <c r="E2370" s="12"/>
      <c r="F2370" s="12"/>
    </row>
    <row r="2371" spans="1:6" ht="12.75">
      <c r="A2371" s="153" t="s">
        <v>38</v>
      </c>
      <c r="B2371" s="167">
        <f t="shared" si="39"/>
        <v>3143.5807288200003</v>
      </c>
      <c r="C2371" s="12">
        <f>0.218666*C2331</f>
        <v>817.71025364</v>
      </c>
      <c r="D2371" s="12">
        <f>0.210458*C2331</f>
        <v>787.01610932</v>
      </c>
      <c r="E2371" s="12">
        <f>0.167241*E2331</f>
        <v>625.40440914</v>
      </c>
      <c r="F2371" s="12">
        <f>0.244268*F2331</f>
        <v>913.44995672</v>
      </c>
    </row>
    <row r="2372" spans="1:6" ht="12.75">
      <c r="A2372" s="153" t="s">
        <v>39</v>
      </c>
      <c r="B2372" s="167">
        <f t="shared" si="39"/>
        <v>6233.51027726</v>
      </c>
      <c r="C2372" s="12">
        <f>0.306583*C2331</f>
        <v>1146.47939182</v>
      </c>
      <c r="D2372" s="12">
        <f>0.0733554*C2331</f>
        <v>274.315452516</v>
      </c>
      <c r="E2372" s="12">
        <f>0.536065*E2331</f>
        <v>2004.6365101000001</v>
      </c>
      <c r="F2372" s="12">
        <f>0.7509156*F2331</f>
        <v>2808.078922824</v>
      </c>
    </row>
    <row r="2373" spans="1:6" ht="12.75">
      <c r="A2373" s="153" t="s">
        <v>32</v>
      </c>
      <c r="B2373" s="167">
        <f t="shared" si="39"/>
        <v>0</v>
      </c>
      <c r="C2373" s="12"/>
      <c r="D2373" s="12"/>
      <c r="E2373" s="12"/>
      <c r="F2373" s="12"/>
    </row>
    <row r="2374" spans="1:6" ht="12.75">
      <c r="A2374" s="153" t="s">
        <v>37</v>
      </c>
      <c r="B2374" s="167">
        <f t="shared" si="39"/>
        <v>8053.3043167920005</v>
      </c>
      <c r="C2374" s="12">
        <f>0.70476*C2331</f>
        <v>2635.4782104</v>
      </c>
      <c r="D2374" s="12">
        <f>0.3731258*C2331</f>
        <v>1395.318854132</v>
      </c>
      <c r="E2374" s="12">
        <f>0.553205*E2331</f>
        <v>2068.7322256999996</v>
      </c>
      <c r="F2374" s="12">
        <f>0.522464*F2331</f>
        <v>1953.7750265600002</v>
      </c>
    </row>
    <row r="2375" spans="1:6" ht="12.75">
      <c r="A2375" s="153" t="s">
        <v>20</v>
      </c>
      <c r="B2375" s="167">
        <f t="shared" si="39"/>
        <v>4098.50592368</v>
      </c>
      <c r="C2375" s="12"/>
      <c r="D2375" s="12">
        <f>0.158142*C2331</f>
        <v>591.37833468</v>
      </c>
      <c r="E2375" s="12">
        <f>0.60489*E2331</f>
        <v>2262.0103506</v>
      </c>
      <c r="F2375" s="12">
        <f>0.33296*F2331</f>
        <v>1245.1172384</v>
      </c>
    </row>
    <row r="2376" spans="1:6" ht="12.75">
      <c r="A2376" s="153" t="s">
        <v>73</v>
      </c>
      <c r="B2376" s="167">
        <f t="shared" si="39"/>
        <v>0</v>
      </c>
      <c r="C2376" s="12"/>
      <c r="D2376" s="12"/>
      <c r="E2376" s="12"/>
      <c r="F2376" s="12"/>
    </row>
    <row r="2377" spans="1:6" ht="12.75">
      <c r="A2377" s="156" t="s">
        <v>11</v>
      </c>
      <c r="B2377" s="166">
        <f t="shared" si="39"/>
        <v>21528.901246552</v>
      </c>
      <c r="C2377" s="157">
        <f>C2371+C2372+C2373+C2374+C2375</f>
        <v>4599.66785586</v>
      </c>
      <c r="D2377" s="157">
        <f>SUM(D2371:D2376)</f>
        <v>3048.028750648</v>
      </c>
      <c r="E2377" s="157">
        <f>SUM(E2371:E2376)</f>
        <v>6960.783495539999</v>
      </c>
      <c r="F2377" s="157">
        <f>SUM(F2371:F2376)</f>
        <v>6920.421144504</v>
      </c>
    </row>
    <row r="2378" spans="1:6" ht="12.75">
      <c r="A2378" s="153" t="s">
        <v>101</v>
      </c>
      <c r="B2378" s="167">
        <f t="shared" si="39"/>
        <v>2440.01395744</v>
      </c>
      <c r="C2378" s="157">
        <f>0.0644*C2331</f>
        <v>240.82637599999998</v>
      </c>
      <c r="D2378" s="12">
        <v>207</v>
      </c>
      <c r="E2378" s="12">
        <f>0.10264*E2331</f>
        <v>383.8263856</v>
      </c>
      <c r="F2378" s="12">
        <f>0.430096*F2331</f>
        <v>1608.36119584</v>
      </c>
    </row>
    <row r="2379" spans="1:6" ht="33.75">
      <c r="A2379" s="161" t="s">
        <v>21</v>
      </c>
      <c r="B2379" s="166">
        <f t="shared" si="39"/>
        <v>510428.985030652</v>
      </c>
      <c r="C2379" s="157">
        <f>C2348+C2369+C2377+C2378</f>
        <v>104860.43247786</v>
      </c>
      <c r="D2379" s="157">
        <f>D2348+D2369+D2377+D2378</f>
        <v>111318.048220648</v>
      </c>
      <c r="E2379" s="157">
        <f>E2348+E2369+E2377</f>
        <v>131809.42074554</v>
      </c>
      <c r="F2379" s="157">
        <f>F2348+F2369+F2377+F2378</f>
        <v>162441.083586604</v>
      </c>
    </row>
    <row r="2380" spans="1:6" ht="45">
      <c r="A2380" s="161" t="s">
        <v>22</v>
      </c>
      <c r="B2380" s="162">
        <f>B2379/12/C2331</f>
        <v>11.374593867843194</v>
      </c>
      <c r="C2380" s="14">
        <f>C2379/C2331/3</f>
        <v>9.346999227878294</v>
      </c>
      <c r="D2380" s="14">
        <f>D2379/3/C2331</f>
        <v>9.922615100667283</v>
      </c>
      <c r="E2380" s="14">
        <f>E2379/3/C2331</f>
        <v>11.749165293551256</v>
      </c>
      <c r="F2380" s="14">
        <f>F2379/3/C2331</f>
        <v>14.479595849275936</v>
      </c>
    </row>
    <row r="2381" spans="1:6" ht="12.75">
      <c r="A2381" s="163" t="s">
        <v>34</v>
      </c>
      <c r="B2381" s="154">
        <f>B2335-B2379</f>
        <v>-80055.29503065196</v>
      </c>
      <c r="C2381" s="165">
        <f>C2335-C2379</f>
        <v>5282.857522139995</v>
      </c>
      <c r="D2381" s="12">
        <f>D2335-D2379+C2381</f>
        <v>13798.779301492003</v>
      </c>
      <c r="E2381" s="12">
        <f>E2335-E2379+D2381</f>
        <v>-22314.981444047997</v>
      </c>
      <c r="F2381" s="12">
        <f>F2335-F2379-32845</f>
        <v>-90585.31358660401</v>
      </c>
    </row>
    <row r="2382" spans="1:6" ht="12.75">
      <c r="A2382" s="29" t="s">
        <v>44</v>
      </c>
      <c r="B2382" s="29"/>
      <c r="C2382" s="29"/>
      <c r="D2382" s="29"/>
      <c r="E2382" s="29"/>
      <c r="F2382" s="29"/>
    </row>
    <row r="2383" spans="1:6" ht="12.75">
      <c r="A2383" s="29" t="s">
        <v>45</v>
      </c>
      <c r="B2383" s="29"/>
      <c r="C2383" s="29"/>
      <c r="D2383" s="29"/>
      <c r="E2383" s="29"/>
      <c r="F2383" s="29"/>
    </row>
    <row r="2384" spans="1:6" ht="12.75">
      <c r="A2384" s="29" t="s">
        <v>579</v>
      </c>
      <c r="B2384" s="29"/>
      <c r="C2384" s="29"/>
      <c r="D2384" s="29"/>
      <c r="E2384" s="29"/>
      <c r="F2384" s="29"/>
    </row>
    <row r="2385" spans="1:6" ht="294" customHeight="1">
      <c r="A2385" s="29"/>
      <c r="B2385" s="29"/>
      <c r="C2385" s="29"/>
      <c r="D2385" s="29"/>
      <c r="E2385" s="29"/>
      <c r="F2385" s="29"/>
    </row>
    <row r="2386" spans="1:6" ht="12.75">
      <c r="A2386" s="120" t="s">
        <v>35</v>
      </c>
      <c r="B2386" s="120"/>
      <c r="C2386" s="29"/>
      <c r="D2386" s="29"/>
      <c r="E2386" s="29"/>
      <c r="F2386" s="29"/>
    </row>
    <row r="2387" spans="1:6" ht="12.75">
      <c r="A2387" s="29" t="s">
        <v>616</v>
      </c>
      <c r="B2387" s="29"/>
      <c r="C2387" s="29"/>
      <c r="D2387" s="29"/>
      <c r="E2387" s="29"/>
      <c r="F2387" s="29"/>
    </row>
    <row r="2388" spans="1:6" ht="12.75">
      <c r="A2388" s="29" t="s">
        <v>224</v>
      </c>
      <c r="B2388" s="29"/>
      <c r="C2388" s="29"/>
      <c r="D2388" s="29"/>
      <c r="E2388" s="29"/>
      <c r="F2388" s="29"/>
    </row>
    <row r="2389" spans="1:6" ht="12.75">
      <c r="A2389" s="29" t="s">
        <v>78</v>
      </c>
      <c r="B2389" s="29"/>
      <c r="C2389" s="29"/>
      <c r="D2389" s="29"/>
      <c r="E2389" s="29" t="s">
        <v>340</v>
      </c>
      <c r="F2389" s="29"/>
    </row>
    <row r="2390" spans="1:6" ht="12.75">
      <c r="A2390" s="10" t="s">
        <v>1</v>
      </c>
      <c r="B2390" s="10" t="s">
        <v>11</v>
      </c>
      <c r="C2390" s="10" t="s">
        <v>86</v>
      </c>
      <c r="D2390" s="10" t="s">
        <v>87</v>
      </c>
      <c r="E2390" s="10" t="s">
        <v>120</v>
      </c>
      <c r="F2390" s="10" t="s">
        <v>141</v>
      </c>
    </row>
    <row r="2391" spans="1:6" ht="12.75">
      <c r="A2391" s="22" t="s">
        <v>6</v>
      </c>
      <c r="B2391" s="22"/>
      <c r="C2391" s="10"/>
      <c r="D2391" s="5"/>
      <c r="E2391" s="5"/>
      <c r="F2391" s="5"/>
    </row>
    <row r="2392" spans="1:6" ht="12.75">
      <c r="A2392" s="5" t="s">
        <v>2</v>
      </c>
      <c r="B2392" s="5"/>
      <c r="C2392" s="10">
        <v>5</v>
      </c>
      <c r="D2392" s="5"/>
      <c r="E2392" s="5"/>
      <c r="F2392" s="5"/>
    </row>
    <row r="2393" spans="1:6" ht="12.75">
      <c r="A2393" s="5" t="s">
        <v>3</v>
      </c>
      <c r="B2393" s="5"/>
      <c r="C2393" s="10">
        <v>6</v>
      </c>
      <c r="D2393" s="5"/>
      <c r="E2393" s="5"/>
      <c r="F2393" s="5"/>
    </row>
    <row r="2394" spans="1:6" ht="12.75">
      <c r="A2394" s="5" t="s">
        <v>4</v>
      </c>
      <c r="B2394" s="5"/>
      <c r="C2394" s="10">
        <v>60</v>
      </c>
      <c r="D2394" s="5"/>
      <c r="E2394" s="5"/>
      <c r="F2394" s="5"/>
    </row>
    <row r="2395" spans="1:6" ht="12.75">
      <c r="A2395" s="5" t="s">
        <v>5</v>
      </c>
      <c r="B2395" s="5"/>
      <c r="C2395" s="10">
        <v>3624.69</v>
      </c>
      <c r="D2395" s="5"/>
      <c r="E2395" s="5"/>
      <c r="F2395" s="5"/>
    </row>
    <row r="2396" spans="1:6" ht="22.5">
      <c r="A2396" s="150" t="s">
        <v>7</v>
      </c>
      <c r="B2396" s="150"/>
      <c r="C2396" s="5" t="s">
        <v>36</v>
      </c>
      <c r="D2396" s="5"/>
      <c r="E2396" s="5"/>
      <c r="F2396" s="5"/>
    </row>
    <row r="2397" spans="1:6" ht="22.5">
      <c r="A2397" s="151" t="s">
        <v>8</v>
      </c>
      <c r="B2397" s="6">
        <f>C2397+D2397+E2397+F2397</f>
        <v>401858.92</v>
      </c>
      <c r="C2397" s="10">
        <v>95191.49</v>
      </c>
      <c r="D2397" s="10">
        <v>95740.04</v>
      </c>
      <c r="E2397" s="10">
        <v>103878.1</v>
      </c>
      <c r="F2397" s="10">
        <v>107049.29</v>
      </c>
    </row>
    <row r="2398" spans="1:6" ht="22.5">
      <c r="A2398" s="153" t="s">
        <v>9</v>
      </c>
      <c r="B2398" s="6">
        <f>C2398+D2398+E2398+F2398</f>
        <v>0</v>
      </c>
      <c r="C2398" s="10">
        <v>0</v>
      </c>
      <c r="D2398" s="10">
        <v>0</v>
      </c>
      <c r="E2398" s="10">
        <v>0</v>
      </c>
      <c r="F2398" s="10">
        <v>0</v>
      </c>
    </row>
    <row r="2399" spans="1:6" ht="12.75">
      <c r="A2399" s="5" t="s">
        <v>11</v>
      </c>
      <c r="B2399" s="150">
        <f>C2399+D2399+E2399+F2399</f>
        <v>401858.92</v>
      </c>
      <c r="C2399" s="22">
        <f>C2397+C2398</f>
        <v>95191.49</v>
      </c>
      <c r="D2399" s="22">
        <f>SUM(D2397:D2398)</f>
        <v>95740.04</v>
      </c>
      <c r="E2399" s="22">
        <f>SUM(E2397:E2398)</f>
        <v>103878.1</v>
      </c>
      <c r="F2399" s="22">
        <f>SUM(F2397:F2398)</f>
        <v>107049.29</v>
      </c>
    </row>
    <row r="2400" spans="1:6" ht="22.5">
      <c r="A2400" s="150" t="s">
        <v>12</v>
      </c>
      <c r="B2400" s="150"/>
      <c r="C2400" s="5"/>
      <c r="D2400" s="5"/>
      <c r="E2400" s="5"/>
      <c r="F2400" s="5"/>
    </row>
    <row r="2401" spans="1:7" ht="12.75">
      <c r="A2401" s="156" t="s">
        <v>13</v>
      </c>
      <c r="B2401" s="166">
        <f>C2401+D2401+E2401+F2401</f>
        <v>114456.72376461</v>
      </c>
      <c r="C2401" s="157">
        <f>7.5947*C2395</f>
        <v>27528.433143</v>
      </c>
      <c r="D2401" s="157">
        <f>7.632*C2395</f>
        <v>27663.63408</v>
      </c>
      <c r="E2401" s="157">
        <f>8.5526*C2395</f>
        <v>31000.523694</v>
      </c>
      <c r="F2401" s="157">
        <f>7.797669*C2395</f>
        <v>28264.13284761</v>
      </c>
      <c r="G2401" s="8"/>
    </row>
    <row r="2402" spans="1:6" ht="21.75">
      <c r="A2402" s="156" t="s">
        <v>14</v>
      </c>
      <c r="B2402" s="167">
        <f aca="true" t="shared" si="40" ref="B2402:B2447">C2402+D2402+E2402+F2402</f>
        <v>0</v>
      </c>
      <c r="C2402" s="12"/>
      <c r="D2402" s="12"/>
      <c r="E2402" s="12"/>
      <c r="F2402" s="12"/>
    </row>
    <row r="2403" spans="1:6" ht="12.75">
      <c r="A2403" s="153" t="s">
        <v>15</v>
      </c>
      <c r="B2403" s="167">
        <f t="shared" si="40"/>
        <v>125590.02</v>
      </c>
      <c r="C2403" s="12">
        <f>C2404+C2406</f>
        <v>28789.26</v>
      </c>
      <c r="D2403" s="12">
        <f>D2404+D2406+D2407+D2408+D2409+D2410</f>
        <v>29765</v>
      </c>
      <c r="E2403" s="12">
        <f>E2404+E2406+E2407+E2408+E2409+E2410</f>
        <v>34135.520000000004</v>
      </c>
      <c r="F2403" s="12">
        <f>F2404+F2406+F2407+F2408+F2409+F2410</f>
        <v>32900.240000000005</v>
      </c>
    </row>
    <row r="2404" spans="1:6" ht="12.75">
      <c r="A2404" s="158" t="s">
        <v>16</v>
      </c>
      <c r="B2404" s="167">
        <f t="shared" si="40"/>
        <v>116748</v>
      </c>
      <c r="C2404" s="165">
        <v>28577</v>
      </c>
      <c r="D2404" s="12">
        <v>27146</v>
      </c>
      <c r="E2404" s="12">
        <v>30291</v>
      </c>
      <c r="F2404" s="12">
        <v>30734</v>
      </c>
    </row>
    <row r="2405" spans="1:6" ht="12.75">
      <c r="A2405" s="153" t="s">
        <v>33</v>
      </c>
      <c r="B2405" s="167">
        <f t="shared" si="40"/>
        <v>78080</v>
      </c>
      <c r="C2405" s="165">
        <v>16611</v>
      </c>
      <c r="D2405" s="12">
        <v>18273</v>
      </c>
      <c r="E2405" s="12">
        <v>21598</v>
      </c>
      <c r="F2405" s="12">
        <v>21598</v>
      </c>
    </row>
    <row r="2406" spans="1:6" ht="12.75">
      <c r="A2406" s="153" t="s">
        <v>24</v>
      </c>
      <c r="B2406" s="167">
        <f t="shared" si="40"/>
        <v>2119.02</v>
      </c>
      <c r="C2406" s="12">
        <v>212.26</v>
      </c>
      <c r="D2406" s="12">
        <v>510</v>
      </c>
      <c r="E2406" s="30">
        <v>683.52</v>
      </c>
      <c r="F2406" s="12">
        <v>713.24</v>
      </c>
    </row>
    <row r="2407" spans="1:6" ht="12.75">
      <c r="A2407" s="153" t="s">
        <v>17</v>
      </c>
      <c r="B2407" s="167">
        <f t="shared" si="40"/>
        <v>1805</v>
      </c>
      <c r="C2407" s="12"/>
      <c r="D2407" s="12"/>
      <c r="E2407" s="30">
        <v>352</v>
      </c>
      <c r="F2407" s="12">
        <v>1453</v>
      </c>
    </row>
    <row r="2408" spans="1:6" ht="12.75">
      <c r="A2408" s="153" t="s">
        <v>40</v>
      </c>
      <c r="B2408" s="167">
        <f t="shared" si="40"/>
        <v>375</v>
      </c>
      <c r="C2408" s="12"/>
      <c r="D2408" s="12"/>
      <c r="E2408" s="30">
        <v>375</v>
      </c>
      <c r="F2408" s="12"/>
    </row>
    <row r="2409" spans="1:6" ht="12.75">
      <c r="A2409" s="153" t="s">
        <v>65</v>
      </c>
      <c r="B2409" s="167">
        <f t="shared" si="40"/>
        <v>0</v>
      </c>
      <c r="C2409" s="12"/>
      <c r="D2409" s="12"/>
      <c r="E2409" s="12"/>
      <c r="F2409" s="12"/>
    </row>
    <row r="2410" spans="1:6" ht="12.75">
      <c r="A2410" s="153" t="s">
        <v>437</v>
      </c>
      <c r="B2410" s="167">
        <f t="shared" si="40"/>
        <v>4543</v>
      </c>
      <c r="C2410" s="12"/>
      <c r="D2410" s="12">
        <v>2109</v>
      </c>
      <c r="E2410" s="30">
        <v>2434</v>
      </c>
      <c r="F2410" s="12"/>
    </row>
    <row r="2411" spans="1:6" ht="12.75">
      <c r="A2411" s="155" t="s">
        <v>11</v>
      </c>
      <c r="B2411" s="166">
        <f t="shared" si="40"/>
        <v>240046.74376461</v>
      </c>
      <c r="C2411" s="157">
        <f>C2401+C2403</f>
        <v>56317.693143</v>
      </c>
      <c r="D2411" s="157">
        <f>D2401+D2403</f>
        <v>57428.63408</v>
      </c>
      <c r="E2411" s="157">
        <f>E2401+E2403</f>
        <v>65136.04369400001</v>
      </c>
      <c r="F2411" s="157">
        <f>F2401+F2403</f>
        <v>61164.37284761001</v>
      </c>
    </row>
    <row r="2412" spans="1:6" ht="21.75">
      <c r="A2412" s="159" t="s">
        <v>18</v>
      </c>
      <c r="B2412" s="167">
        <f t="shared" si="40"/>
        <v>0</v>
      </c>
      <c r="C2412" s="12"/>
      <c r="D2412" s="12"/>
      <c r="E2412" s="12"/>
      <c r="F2412" s="12"/>
    </row>
    <row r="2413" spans="1:6" ht="12.75">
      <c r="A2413" s="153" t="s">
        <v>23</v>
      </c>
      <c r="B2413" s="167">
        <f t="shared" si="40"/>
        <v>88887.185463</v>
      </c>
      <c r="C2413" s="165">
        <f>5.3352*C2395</f>
        <v>19338.446088</v>
      </c>
      <c r="D2413" s="12">
        <f>6.1735*C2395</f>
        <v>22377.023715</v>
      </c>
      <c r="E2413" s="12">
        <f>6.4099*C2395</f>
        <v>23233.900431000002</v>
      </c>
      <c r="F2413" s="12">
        <f>6.6041*C2395</f>
        <v>23937.815229</v>
      </c>
    </row>
    <row r="2414" spans="1:6" ht="12.75">
      <c r="A2414" s="153" t="s">
        <v>304</v>
      </c>
      <c r="B2414" s="167">
        <f t="shared" si="40"/>
        <v>14536</v>
      </c>
      <c r="C2414" s="12"/>
      <c r="D2414" s="12">
        <v>14536</v>
      </c>
      <c r="E2414" s="12"/>
      <c r="F2414" s="12"/>
    </row>
    <row r="2415" spans="1:6" ht="12.75">
      <c r="A2415" s="153" t="s">
        <v>305</v>
      </c>
      <c r="B2415" s="167">
        <f t="shared" si="40"/>
        <v>1560</v>
      </c>
      <c r="C2415" s="12"/>
      <c r="D2415" s="12">
        <v>1560</v>
      </c>
      <c r="E2415" s="12"/>
      <c r="F2415" s="12"/>
    </row>
    <row r="2416" spans="1:6" ht="12.75">
      <c r="A2416" s="153" t="s">
        <v>30</v>
      </c>
      <c r="B2416" s="167">
        <f t="shared" si="40"/>
        <v>19363.59</v>
      </c>
      <c r="C2416" s="12">
        <v>6643</v>
      </c>
      <c r="D2416" s="12">
        <v>2815</v>
      </c>
      <c r="E2416" s="30">
        <v>1718</v>
      </c>
      <c r="F2416" s="12">
        <v>8187.59</v>
      </c>
    </row>
    <row r="2417" spans="1:6" ht="12.75">
      <c r="A2417" s="153" t="s">
        <v>28</v>
      </c>
      <c r="B2417" s="167">
        <f t="shared" si="40"/>
        <v>5701</v>
      </c>
      <c r="C2417" s="12">
        <v>2575</v>
      </c>
      <c r="D2417" s="12">
        <v>2178</v>
      </c>
      <c r="E2417" s="30">
        <v>948</v>
      </c>
      <c r="F2417" s="12"/>
    </row>
    <row r="2418" spans="1:6" ht="12.75">
      <c r="A2418" s="153" t="s">
        <v>41</v>
      </c>
      <c r="B2418" s="167">
        <f t="shared" si="40"/>
        <v>5246</v>
      </c>
      <c r="C2418" s="12"/>
      <c r="D2418" s="12"/>
      <c r="E2418" s="30">
        <v>4546</v>
      </c>
      <c r="F2418" s="12">
        <v>700</v>
      </c>
    </row>
    <row r="2419" spans="1:6" ht="12.75">
      <c r="A2419" s="153" t="s">
        <v>50</v>
      </c>
      <c r="B2419" s="167">
        <f t="shared" si="40"/>
        <v>13686.41</v>
      </c>
      <c r="C2419" s="12">
        <v>2521.41</v>
      </c>
      <c r="D2419" s="12">
        <v>10029</v>
      </c>
      <c r="E2419" s="30">
        <v>1136</v>
      </c>
      <c r="F2419" s="12"/>
    </row>
    <row r="2420" spans="1:6" ht="12.75">
      <c r="A2420" s="153" t="s">
        <v>434</v>
      </c>
      <c r="B2420" s="167">
        <f t="shared" si="40"/>
        <v>164261.5</v>
      </c>
      <c r="C2420" s="12"/>
      <c r="D2420" s="12"/>
      <c r="E2420" s="30">
        <v>164261.5</v>
      </c>
      <c r="F2420" s="12"/>
    </row>
    <row r="2421" spans="1:6" ht="22.5">
      <c r="A2421" s="153" t="s">
        <v>225</v>
      </c>
      <c r="B2421" s="167">
        <f t="shared" si="40"/>
        <v>520.94</v>
      </c>
      <c r="C2421" s="12">
        <v>520.94</v>
      </c>
      <c r="D2421" s="12"/>
      <c r="E2421" s="12"/>
      <c r="F2421" s="12"/>
    </row>
    <row r="2422" spans="1:6" ht="12.75">
      <c r="A2422" s="153" t="s">
        <v>27</v>
      </c>
      <c r="B2422" s="167">
        <f t="shared" si="40"/>
        <v>255</v>
      </c>
      <c r="C2422" s="12"/>
      <c r="D2422" s="12"/>
      <c r="E2422" s="30">
        <v>255</v>
      </c>
      <c r="F2422" s="12"/>
    </row>
    <row r="2423" spans="1:6" ht="12.75">
      <c r="A2423" s="153" t="s">
        <v>302</v>
      </c>
      <c r="B2423" s="167">
        <f t="shared" si="40"/>
        <v>21693</v>
      </c>
      <c r="C2423" s="12"/>
      <c r="D2423" s="12">
        <v>21283</v>
      </c>
      <c r="E2423" s="30">
        <v>410</v>
      </c>
      <c r="F2423" s="12"/>
    </row>
    <row r="2424" spans="1:6" ht="12.75">
      <c r="A2424" s="153" t="s">
        <v>435</v>
      </c>
      <c r="B2424" s="167">
        <f t="shared" si="40"/>
        <v>1564.5</v>
      </c>
      <c r="C2424" s="12"/>
      <c r="D2424" s="12"/>
      <c r="E2424" s="30">
        <v>1564.5</v>
      </c>
      <c r="F2424" s="12"/>
    </row>
    <row r="2425" spans="1:6" ht="12.75">
      <c r="A2425" s="153" t="s">
        <v>303</v>
      </c>
      <c r="B2425" s="167">
        <f t="shared" si="40"/>
        <v>17646</v>
      </c>
      <c r="C2425" s="12"/>
      <c r="D2425" s="12">
        <v>17646</v>
      </c>
      <c r="E2425" s="12"/>
      <c r="F2425" s="12"/>
    </row>
    <row r="2426" spans="1:6" ht="12.75">
      <c r="A2426" s="153" t="s">
        <v>238</v>
      </c>
      <c r="B2426" s="167">
        <f t="shared" si="40"/>
        <v>24518</v>
      </c>
      <c r="C2426" s="12">
        <v>24518</v>
      </c>
      <c r="D2426" s="12"/>
      <c r="E2426" s="12"/>
      <c r="F2426" s="12"/>
    </row>
    <row r="2427" spans="1:6" ht="12.75">
      <c r="A2427" s="153" t="s">
        <v>72</v>
      </c>
      <c r="B2427" s="167">
        <f t="shared" si="40"/>
        <v>74</v>
      </c>
      <c r="C2427" s="12"/>
      <c r="D2427" s="12">
        <v>74</v>
      </c>
      <c r="E2427" s="12"/>
      <c r="F2427" s="12"/>
    </row>
    <row r="2428" spans="1:6" ht="12.75">
      <c r="A2428" s="153" t="s">
        <v>232</v>
      </c>
      <c r="B2428" s="167">
        <f t="shared" si="40"/>
        <v>0</v>
      </c>
      <c r="C2428" s="12">
        <v>0</v>
      </c>
      <c r="D2428" s="12"/>
      <c r="E2428" s="12"/>
      <c r="F2428" s="12"/>
    </row>
    <row r="2429" spans="1:6" ht="12.75">
      <c r="A2429" s="153" t="s">
        <v>239</v>
      </c>
      <c r="B2429" s="167">
        <f t="shared" si="40"/>
        <v>673</v>
      </c>
      <c r="C2429" s="12">
        <v>673</v>
      </c>
      <c r="D2429" s="12"/>
      <c r="E2429" s="12"/>
      <c r="F2429" s="12"/>
    </row>
    <row r="2430" spans="1:6" ht="12.75">
      <c r="A2430" s="153" t="s">
        <v>240</v>
      </c>
      <c r="B2430" s="167">
        <f t="shared" si="40"/>
        <v>4455</v>
      </c>
      <c r="C2430" s="12">
        <v>4455</v>
      </c>
      <c r="D2430" s="12"/>
      <c r="E2430" s="12"/>
      <c r="F2430" s="12"/>
    </row>
    <row r="2431" spans="1:6" ht="12.75">
      <c r="A2431" s="153" t="s">
        <v>294</v>
      </c>
      <c r="B2431" s="167">
        <f t="shared" si="40"/>
        <v>10541</v>
      </c>
      <c r="C2431" s="12"/>
      <c r="D2431" s="12">
        <v>10541</v>
      </c>
      <c r="E2431" s="12"/>
      <c r="F2431" s="12"/>
    </row>
    <row r="2432" spans="1:6" ht="12.75">
      <c r="A2432" s="153" t="s">
        <v>436</v>
      </c>
      <c r="B2432" s="167">
        <f t="shared" si="40"/>
        <v>54700</v>
      </c>
      <c r="C2432" s="12"/>
      <c r="D2432" s="12">
        <v>37800</v>
      </c>
      <c r="E2432" s="30">
        <v>16900</v>
      </c>
      <c r="F2432" s="12"/>
    </row>
    <row r="2433" spans="1:6" ht="12.75">
      <c r="A2433" s="153" t="s">
        <v>433</v>
      </c>
      <c r="B2433" s="167">
        <f t="shared" si="40"/>
        <v>1509</v>
      </c>
      <c r="C2433" s="12"/>
      <c r="D2433" s="12"/>
      <c r="E2433" s="30">
        <v>1509</v>
      </c>
      <c r="F2433" s="12"/>
    </row>
    <row r="2434" spans="1:6" ht="12.75">
      <c r="A2434" s="153" t="s">
        <v>453</v>
      </c>
      <c r="B2434" s="167">
        <f t="shared" si="40"/>
        <v>911</v>
      </c>
      <c r="C2434" s="12"/>
      <c r="D2434" s="12"/>
      <c r="E2434" s="30"/>
      <c r="F2434" s="12">
        <v>911</v>
      </c>
    </row>
    <row r="2435" spans="1:6" ht="12.75">
      <c r="A2435" s="153" t="s">
        <v>497</v>
      </c>
      <c r="B2435" s="167">
        <f t="shared" si="40"/>
        <v>0</v>
      </c>
      <c r="C2435" s="12"/>
      <c r="D2435" s="12"/>
      <c r="E2435" s="30"/>
      <c r="F2435" s="30">
        <v>0</v>
      </c>
    </row>
    <row r="2436" spans="1:6" ht="12.75">
      <c r="A2436" s="153" t="s">
        <v>522</v>
      </c>
      <c r="B2436" s="167"/>
      <c r="C2436" s="12"/>
      <c r="D2436" s="12"/>
      <c r="E2436" s="30"/>
      <c r="F2436" s="12">
        <v>4216</v>
      </c>
    </row>
    <row r="2437" spans="1:6" ht="12.75">
      <c r="A2437" s="155" t="s">
        <v>11</v>
      </c>
      <c r="B2437" s="166">
        <f t="shared" si="40"/>
        <v>456518.12546300003</v>
      </c>
      <c r="C2437" s="157">
        <f>C2413+C2414+C2415+C2416+C2417+C2418+C2419+C2420+C2421+C2422+C2423+C2424+C2425+C2426+C2427+C2428+C2429+C2430+C2431</f>
        <v>61244.796088</v>
      </c>
      <c r="D2437" s="157">
        <f>SUM(D2413:D2432)</f>
        <v>140839.02371500002</v>
      </c>
      <c r="E2437" s="157">
        <f>SUM(E2413:E2433)</f>
        <v>216481.900431</v>
      </c>
      <c r="F2437" s="157">
        <f>SUM(F2413:F2436)</f>
        <v>37952.405228999996</v>
      </c>
    </row>
    <row r="2438" spans="1:6" ht="12.75">
      <c r="A2438" s="155" t="s">
        <v>19</v>
      </c>
      <c r="B2438" s="167">
        <f t="shared" si="40"/>
        <v>0</v>
      </c>
      <c r="C2438" s="12"/>
      <c r="D2438" s="12"/>
      <c r="E2438" s="12"/>
      <c r="F2438" s="12"/>
    </row>
    <row r="2439" spans="1:6" ht="12.75">
      <c r="A2439" s="153" t="s">
        <v>38</v>
      </c>
      <c r="B2439" s="167">
        <f t="shared" si="40"/>
        <v>3047.03402877</v>
      </c>
      <c r="C2439" s="12">
        <f>0.218666*C2395</f>
        <v>792.5964635400001</v>
      </c>
      <c r="D2439" s="12">
        <f>0.210458*C2395</f>
        <v>762.84500802</v>
      </c>
      <c r="E2439" s="12">
        <f>0.167241*C2395</f>
        <v>606.19678029</v>
      </c>
      <c r="F2439" s="12">
        <f>0.244268*C2395</f>
        <v>885.3957769200001</v>
      </c>
    </row>
    <row r="2440" spans="1:6" ht="12.75">
      <c r="A2440" s="153" t="s">
        <v>39</v>
      </c>
      <c r="B2440" s="167">
        <f t="shared" si="40"/>
        <v>6042.0646301100005</v>
      </c>
      <c r="C2440" s="12">
        <f>0.306583*C2395</f>
        <v>1111.26833427</v>
      </c>
      <c r="D2440" s="12">
        <f>0.0733554*C2395</f>
        <v>265.890584826</v>
      </c>
      <c r="E2440" s="12">
        <f>0.536065*C2395</f>
        <v>1943.06944485</v>
      </c>
      <c r="F2440" s="12">
        <f>0.7509156*C2395</f>
        <v>2721.836266164</v>
      </c>
    </row>
    <row r="2441" spans="1:6" ht="12.75">
      <c r="A2441" s="153" t="s">
        <v>32</v>
      </c>
      <c r="B2441" s="167">
        <f t="shared" si="40"/>
        <v>590</v>
      </c>
      <c r="C2441" s="12"/>
      <c r="D2441" s="12"/>
      <c r="E2441" s="30">
        <v>380</v>
      </c>
      <c r="F2441" s="12">
        <v>210</v>
      </c>
    </row>
    <row r="2442" spans="1:6" ht="12.75">
      <c r="A2442" s="153" t="s">
        <v>37</v>
      </c>
      <c r="B2442" s="167">
        <f t="shared" si="40"/>
        <v>7805.968548012001</v>
      </c>
      <c r="C2442" s="12">
        <f>0.70476*C2395</f>
        <v>2554.5365244000004</v>
      </c>
      <c r="D2442" s="12">
        <f>0.3731258*C2395</f>
        <v>1352.4653560020001</v>
      </c>
      <c r="E2442" s="12">
        <f>0.553205*C2395</f>
        <v>2005.1966314499998</v>
      </c>
      <c r="F2442" s="12">
        <f>0.522464*C2395</f>
        <v>1893.7700361600002</v>
      </c>
    </row>
    <row r="2443" spans="1:6" ht="12.75">
      <c r="A2443" s="153" t="s">
        <v>20</v>
      </c>
      <c r="B2443" s="167">
        <f t="shared" si="40"/>
        <v>2886.44213832</v>
      </c>
      <c r="C2443" s="12"/>
      <c r="D2443" s="12">
        <f>0.158142*C2395</f>
        <v>573.21572598</v>
      </c>
      <c r="E2443" s="12">
        <f>0.60489*C2395</f>
        <v>2192.5387341</v>
      </c>
      <c r="F2443" s="12">
        <f>0.033296*C2395</f>
        <v>120.68767824</v>
      </c>
    </row>
    <row r="2444" spans="1:6" ht="12.75">
      <c r="A2444" s="153" t="s">
        <v>73</v>
      </c>
      <c r="B2444" s="167">
        <f t="shared" si="40"/>
        <v>0</v>
      </c>
      <c r="C2444" s="12"/>
      <c r="D2444" s="12"/>
      <c r="E2444" s="12"/>
      <c r="F2444" s="12"/>
    </row>
    <row r="2445" spans="1:6" ht="12.75">
      <c r="A2445" s="156" t="s">
        <v>11</v>
      </c>
      <c r="B2445" s="166">
        <f t="shared" si="40"/>
        <v>20371.509345212</v>
      </c>
      <c r="C2445" s="157">
        <f>C2439+C2440+C2441+C2442+C2443</f>
        <v>4458.40132221</v>
      </c>
      <c r="D2445" s="157">
        <f>SUM(D2439:D2444)</f>
        <v>2954.4166748280004</v>
      </c>
      <c r="E2445" s="157">
        <f>SUM(E2439:E2444)</f>
        <v>7127.001590690001</v>
      </c>
      <c r="F2445" s="157">
        <f>SUM(F2439:F2444)</f>
        <v>5831.689757484</v>
      </c>
    </row>
    <row r="2446" spans="1:6" ht="12.75">
      <c r="A2446" s="153" t="s">
        <v>101</v>
      </c>
      <c r="B2446" s="167">
        <f t="shared" si="40"/>
        <v>2365.43288784</v>
      </c>
      <c r="C2446" s="157">
        <f>0.0644*C2395</f>
        <v>233.430036</v>
      </c>
      <c r="D2446" s="157">
        <v>201</v>
      </c>
      <c r="E2446" s="12">
        <f>0.10264*C2395</f>
        <v>372.0381816</v>
      </c>
      <c r="F2446" s="12">
        <f>0.430096*C2395</f>
        <v>1558.96467024</v>
      </c>
    </row>
    <row r="2447" spans="1:6" ht="33.75">
      <c r="A2447" s="161" t="s">
        <v>21</v>
      </c>
      <c r="B2447" s="166">
        <f t="shared" si="40"/>
        <v>719301.8114606619</v>
      </c>
      <c r="C2447" s="157">
        <f>C2411+C2437+C2445+C2446</f>
        <v>122254.32058921001</v>
      </c>
      <c r="D2447" s="157">
        <f>D2411+D2437+D2445+D2446</f>
        <v>201423.07446982802</v>
      </c>
      <c r="E2447" s="157">
        <f>E2411+E2437+E2445+E2446</f>
        <v>289116.98389728996</v>
      </c>
      <c r="F2447" s="157">
        <f>F2411+F2437+F2445+F2446</f>
        <v>106507.432504334</v>
      </c>
    </row>
    <row r="2448" spans="1:6" ht="45">
      <c r="A2448" s="161" t="s">
        <v>22</v>
      </c>
      <c r="B2448" s="162">
        <f>B2447/12/C2395</f>
        <v>16.537088032830898</v>
      </c>
      <c r="C2448" s="14">
        <f>C2447/C2395/3</f>
        <v>11.242738053848283</v>
      </c>
      <c r="D2448" s="14">
        <f>D2447/3/C2395</f>
        <v>18.523246077119975</v>
      </c>
      <c r="E2448" s="14">
        <f>E2447/3/C2395</f>
        <v>26.587743494136966</v>
      </c>
      <c r="F2448" s="14">
        <f>F2447/3/C2395</f>
        <v>9.794624506218373</v>
      </c>
    </row>
    <row r="2449" spans="1:6" ht="12.75">
      <c r="A2449" s="163" t="s">
        <v>34</v>
      </c>
      <c r="B2449" s="154">
        <f>B2399-B2447</f>
        <v>-317442.89146066195</v>
      </c>
      <c r="C2449" s="165">
        <f>C2399-C2447</f>
        <v>-27062.830589210003</v>
      </c>
      <c r="D2449" s="12">
        <f>D2399-D2447-27097</f>
        <v>-132780.034469828</v>
      </c>
      <c r="E2449" s="12">
        <f>E2399-E2447-132780</f>
        <v>-318018.88389729</v>
      </c>
      <c r="F2449" s="12">
        <f>F2399-F2447-318019</f>
        <v>-317477.142504334</v>
      </c>
    </row>
    <row r="2450" spans="1:6" ht="12.75">
      <c r="A2450" s="29" t="s">
        <v>44</v>
      </c>
      <c r="B2450" s="29"/>
      <c r="C2450" s="29"/>
      <c r="D2450" s="29"/>
      <c r="E2450" s="29"/>
      <c r="F2450" s="29"/>
    </row>
    <row r="2451" spans="1:6" ht="12.75">
      <c r="A2451" s="29" t="s">
        <v>45</v>
      </c>
      <c r="B2451" s="29"/>
      <c r="C2451" s="29"/>
      <c r="D2451" s="29"/>
      <c r="E2451" s="29"/>
      <c r="F2451" s="29"/>
    </row>
    <row r="2452" spans="1:6" ht="12.75">
      <c r="A2452" s="29" t="s">
        <v>579</v>
      </c>
      <c r="B2452" s="29"/>
      <c r="C2452" s="29"/>
      <c r="D2452" s="29"/>
      <c r="E2452" s="29"/>
      <c r="F2452" s="29"/>
    </row>
    <row r="2453" spans="1:6" ht="252" customHeight="1">
      <c r="A2453" s="29"/>
      <c r="B2453" s="29"/>
      <c r="C2453" s="29"/>
      <c r="D2453" s="29"/>
      <c r="E2453" s="29"/>
      <c r="F2453" s="29"/>
    </row>
    <row r="2454" spans="1:6" ht="12.75">
      <c r="A2454" s="120" t="s">
        <v>35</v>
      </c>
      <c r="B2454" s="120"/>
      <c r="C2454" s="29"/>
      <c r="D2454" s="29"/>
      <c r="E2454" s="29"/>
      <c r="F2454" s="29"/>
    </row>
    <row r="2455" spans="1:6" ht="12.75">
      <c r="A2455" s="29" t="s">
        <v>616</v>
      </c>
      <c r="B2455" s="29"/>
      <c r="C2455" s="29"/>
      <c r="D2455" s="29"/>
      <c r="E2455" s="29"/>
      <c r="F2455" s="29"/>
    </row>
    <row r="2456" spans="1:6" ht="12.75">
      <c r="A2456" s="29" t="s">
        <v>224</v>
      </c>
      <c r="B2456" s="29"/>
      <c r="C2456" s="29"/>
      <c r="D2456" s="29"/>
      <c r="E2456" s="29"/>
      <c r="F2456" s="29"/>
    </row>
    <row r="2457" spans="1:6" ht="12.75">
      <c r="A2457" s="29" t="s">
        <v>81</v>
      </c>
      <c r="B2457" s="29"/>
      <c r="C2457" s="29"/>
      <c r="D2457" s="29"/>
      <c r="E2457" s="29" t="s">
        <v>340</v>
      </c>
      <c r="F2457" s="29"/>
    </row>
    <row r="2458" spans="1:6" ht="12.75">
      <c r="A2458" s="10" t="s">
        <v>1</v>
      </c>
      <c r="B2458" s="10" t="s">
        <v>11</v>
      </c>
      <c r="C2458" s="10" t="s">
        <v>86</v>
      </c>
      <c r="D2458" s="10" t="s">
        <v>87</v>
      </c>
      <c r="E2458" s="10" t="s">
        <v>120</v>
      </c>
      <c r="F2458" s="10" t="s">
        <v>141</v>
      </c>
    </row>
    <row r="2459" spans="1:6" ht="12.75">
      <c r="A2459" s="22" t="s">
        <v>6</v>
      </c>
      <c r="B2459" s="22"/>
      <c r="C2459" s="10"/>
      <c r="D2459" s="5"/>
      <c r="E2459" s="5"/>
      <c r="F2459" s="5"/>
    </row>
    <row r="2460" spans="1:6" ht="12.75">
      <c r="A2460" s="5" t="s">
        <v>2</v>
      </c>
      <c r="B2460" s="5"/>
      <c r="C2460" s="10">
        <v>5</v>
      </c>
      <c r="D2460" s="5"/>
      <c r="E2460" s="5"/>
      <c r="F2460" s="5"/>
    </row>
    <row r="2461" spans="1:6" ht="12.75">
      <c r="A2461" s="5" t="s">
        <v>3</v>
      </c>
      <c r="B2461" s="5"/>
      <c r="C2461" s="10">
        <v>4</v>
      </c>
      <c r="D2461" s="5"/>
      <c r="E2461" s="5"/>
      <c r="F2461" s="5"/>
    </row>
    <row r="2462" spans="1:6" ht="12.75">
      <c r="A2462" s="5" t="s">
        <v>4</v>
      </c>
      <c r="B2462" s="5"/>
      <c r="C2462" s="10">
        <v>40</v>
      </c>
      <c r="D2462" s="5"/>
      <c r="E2462" s="5"/>
      <c r="F2462" s="5"/>
    </row>
    <row r="2463" spans="1:6" ht="12.75">
      <c r="A2463" s="5" t="s">
        <v>5</v>
      </c>
      <c r="B2463" s="10">
        <v>2517.57</v>
      </c>
      <c r="C2463" s="10">
        <v>2517.57</v>
      </c>
      <c r="D2463" s="10">
        <v>2517.57</v>
      </c>
      <c r="E2463" s="10">
        <v>2517.57</v>
      </c>
      <c r="F2463" s="10">
        <v>2517.57</v>
      </c>
    </row>
    <row r="2464" spans="1:6" ht="22.5">
      <c r="A2464" s="150" t="s">
        <v>7</v>
      </c>
      <c r="B2464" s="150"/>
      <c r="C2464" s="5" t="s">
        <v>36</v>
      </c>
      <c r="D2464" s="5"/>
      <c r="E2464" s="5"/>
      <c r="F2464" s="5"/>
    </row>
    <row r="2465" spans="1:6" ht="22.5">
      <c r="A2465" s="151" t="s">
        <v>8</v>
      </c>
      <c r="B2465" s="6">
        <f>C2465+D2465+E2465+F2465</f>
        <v>272855.6</v>
      </c>
      <c r="C2465" s="10">
        <v>57596.79</v>
      </c>
      <c r="D2465" s="10">
        <v>73008.43</v>
      </c>
      <c r="E2465" s="10">
        <v>69340.44</v>
      </c>
      <c r="F2465" s="10">
        <v>72909.94</v>
      </c>
    </row>
    <row r="2466" spans="1:6" ht="22.5">
      <c r="A2466" s="153" t="s">
        <v>9</v>
      </c>
      <c r="B2466" s="6">
        <f>C2466+D2466+E2466+F2466</f>
        <v>0</v>
      </c>
      <c r="C2466" s="10">
        <v>0</v>
      </c>
      <c r="D2466" s="10">
        <v>0</v>
      </c>
      <c r="E2466" s="10">
        <v>0</v>
      </c>
      <c r="F2466" s="10">
        <v>0</v>
      </c>
    </row>
    <row r="2467" spans="1:6" ht="12.75">
      <c r="A2467" s="5" t="s">
        <v>11</v>
      </c>
      <c r="B2467" s="6">
        <f>C2467+D2467+E2467+F2467</f>
        <v>272855.6</v>
      </c>
      <c r="C2467" s="22">
        <f>C2465+C2466</f>
        <v>57596.79</v>
      </c>
      <c r="D2467" s="22">
        <f>SUM(D2465:D2466)</f>
        <v>73008.43</v>
      </c>
      <c r="E2467" s="10">
        <f>SUM(E2465:E2466)</f>
        <v>69340.44</v>
      </c>
      <c r="F2467" s="10">
        <f>SUM(F2465:F2466)</f>
        <v>72909.94</v>
      </c>
    </row>
    <row r="2468" spans="1:6" ht="22.5">
      <c r="A2468" s="150" t="s">
        <v>12</v>
      </c>
      <c r="B2468" s="150"/>
      <c r="C2468" s="5"/>
      <c r="D2468" s="5"/>
      <c r="E2468" s="5"/>
      <c r="F2468" s="5"/>
    </row>
    <row r="2469" spans="1:7" ht="12.75">
      <c r="A2469" s="156" t="s">
        <v>13</v>
      </c>
      <c r="B2469" s="166">
        <f>C2469+D2469+E2469+F2469</f>
        <v>79497.22984533</v>
      </c>
      <c r="C2469" s="157">
        <f>7.5947*C2463</f>
        <v>19120.188879</v>
      </c>
      <c r="D2469" s="157">
        <f>7.632*C2463</f>
        <v>19214.094240000002</v>
      </c>
      <c r="E2469" s="12">
        <f>8.5526*E2463</f>
        <v>21531.769182</v>
      </c>
      <c r="F2469" s="157">
        <f>7.797669*F2463</f>
        <v>19631.17754433</v>
      </c>
      <c r="G2469" s="8"/>
    </row>
    <row r="2470" spans="1:6" ht="21.75">
      <c r="A2470" s="156" t="s">
        <v>14</v>
      </c>
      <c r="B2470" s="167">
        <f aca="true" t="shared" si="41" ref="B2470:B2512">C2470+D2470+E2470+F2470</f>
        <v>0</v>
      </c>
      <c r="C2470" s="12"/>
      <c r="D2470" s="12"/>
      <c r="E2470" s="12"/>
      <c r="F2470" s="12"/>
    </row>
    <row r="2471" spans="1:6" ht="12.75">
      <c r="A2471" s="153" t="s">
        <v>15</v>
      </c>
      <c r="B2471" s="167">
        <f t="shared" si="41"/>
        <v>91328.27</v>
      </c>
      <c r="C2471" s="12">
        <f>C2472+C2474</f>
        <v>21877.24</v>
      </c>
      <c r="D2471" s="12">
        <f>D2472+D2474+D2475+D2476+D2477+D2478</f>
        <v>22718.74</v>
      </c>
      <c r="E2471" s="12">
        <f>E2472+E2474+E2475+E2476+E2477+E2478</f>
        <v>25422.54</v>
      </c>
      <c r="F2471" s="12">
        <f>F2472+F2474+F2475+F2476+F2477+F2478</f>
        <v>21309.75</v>
      </c>
    </row>
    <row r="2472" spans="1:6" ht="12.75">
      <c r="A2472" s="158" t="s">
        <v>16</v>
      </c>
      <c r="B2472" s="167">
        <f t="shared" si="41"/>
        <v>85667</v>
      </c>
      <c r="C2472" s="165">
        <v>21731</v>
      </c>
      <c r="D2472" s="12">
        <v>19962</v>
      </c>
      <c r="E2472" s="12">
        <v>23161</v>
      </c>
      <c r="F2472" s="12">
        <v>20813</v>
      </c>
    </row>
    <row r="2473" spans="1:6" ht="12.75">
      <c r="A2473" s="153" t="s">
        <v>33</v>
      </c>
      <c r="B2473" s="167">
        <f t="shared" si="41"/>
        <v>56199</v>
      </c>
      <c r="C2473" s="165">
        <v>13464</v>
      </c>
      <c r="D2473" s="12">
        <v>13799</v>
      </c>
      <c r="E2473" s="12">
        <v>14468</v>
      </c>
      <c r="F2473" s="12">
        <v>14468</v>
      </c>
    </row>
    <row r="2474" spans="1:6" ht="12.75">
      <c r="A2474" s="153" t="s">
        <v>24</v>
      </c>
      <c r="B2474" s="167">
        <f t="shared" si="41"/>
        <v>1470.27</v>
      </c>
      <c r="C2474" s="12">
        <v>146.24</v>
      </c>
      <c r="D2474" s="12">
        <v>350.74</v>
      </c>
      <c r="E2474" s="12">
        <v>476.54</v>
      </c>
      <c r="F2474" s="12">
        <v>496.75</v>
      </c>
    </row>
    <row r="2475" spans="1:6" ht="12.75">
      <c r="A2475" s="153" t="s">
        <v>17</v>
      </c>
      <c r="B2475" s="167">
        <f t="shared" si="41"/>
        <v>0</v>
      </c>
      <c r="C2475" s="12"/>
      <c r="D2475" s="12"/>
      <c r="E2475" s="12"/>
      <c r="F2475" s="12"/>
    </row>
    <row r="2476" spans="1:6" ht="12.75">
      <c r="A2476" s="153" t="s">
        <v>277</v>
      </c>
      <c r="B2476" s="167">
        <f t="shared" si="41"/>
        <v>1056</v>
      </c>
      <c r="C2476" s="12"/>
      <c r="D2476" s="12">
        <v>1056</v>
      </c>
      <c r="E2476" s="12"/>
      <c r="F2476" s="12"/>
    </row>
    <row r="2477" spans="1:6" ht="12.75">
      <c r="A2477" s="153" t="s">
        <v>65</v>
      </c>
      <c r="B2477" s="167">
        <f t="shared" si="41"/>
        <v>1350</v>
      </c>
      <c r="C2477" s="12"/>
      <c r="D2477" s="12">
        <v>1350</v>
      </c>
      <c r="E2477" s="12"/>
      <c r="F2477" s="12"/>
    </row>
    <row r="2478" spans="1:6" ht="12.75">
      <c r="A2478" s="153" t="s">
        <v>438</v>
      </c>
      <c r="B2478" s="167">
        <f t="shared" si="41"/>
        <v>1785</v>
      </c>
      <c r="C2478" s="12"/>
      <c r="D2478" s="12"/>
      <c r="E2478" s="12">
        <v>1785</v>
      </c>
      <c r="F2478" s="12"/>
    </row>
    <row r="2479" spans="1:6" ht="12.75">
      <c r="A2479" s="155" t="s">
        <v>11</v>
      </c>
      <c r="B2479" s="167">
        <f t="shared" si="41"/>
        <v>170825.49984533002</v>
      </c>
      <c r="C2479" s="157">
        <f>C2469+C2471</f>
        <v>40997.428879</v>
      </c>
      <c r="D2479" s="157">
        <f>D2469+D2471</f>
        <v>41932.834240000004</v>
      </c>
      <c r="E2479" s="12">
        <f>E2469+E2471</f>
        <v>46954.309182</v>
      </c>
      <c r="F2479" s="12">
        <f>F2469+F2471</f>
        <v>40940.92754433</v>
      </c>
    </row>
    <row r="2480" spans="1:6" ht="21.75">
      <c r="A2480" s="159" t="s">
        <v>18</v>
      </c>
      <c r="B2480" s="167">
        <f t="shared" si="41"/>
        <v>0</v>
      </c>
      <c r="C2480" s="12"/>
      <c r="D2480" s="12"/>
      <c r="E2480" s="12"/>
      <c r="F2480" s="12"/>
    </row>
    <row r="2481" spans="1:6" ht="12.75">
      <c r="A2481" s="153" t="s">
        <v>23</v>
      </c>
      <c r="B2481" s="167">
        <f t="shared" si="41"/>
        <v>61737.61383900001</v>
      </c>
      <c r="C2481" s="165">
        <f>5.3352*C2463</f>
        <v>13431.739464000002</v>
      </c>
      <c r="D2481" s="12">
        <f>6.1735*C2463</f>
        <v>15542.218395</v>
      </c>
      <c r="E2481" s="12">
        <f>6.4099*E2463</f>
        <v>16137.371943000002</v>
      </c>
      <c r="F2481" s="12">
        <f>6.6041*F2463</f>
        <v>16626.284037</v>
      </c>
    </row>
    <row r="2482" spans="1:6" ht="12.75">
      <c r="A2482" s="153" t="s">
        <v>523</v>
      </c>
      <c r="B2482" s="167">
        <f t="shared" si="41"/>
        <v>610</v>
      </c>
      <c r="C2482" s="12"/>
      <c r="D2482" s="12"/>
      <c r="E2482" s="12"/>
      <c r="F2482" s="12">
        <v>610</v>
      </c>
    </row>
    <row r="2483" spans="1:6" ht="12.75">
      <c r="A2483" s="153" t="s">
        <v>306</v>
      </c>
      <c r="B2483" s="167">
        <f t="shared" si="41"/>
        <v>21388</v>
      </c>
      <c r="C2483" s="12"/>
      <c r="D2483" s="12">
        <v>20044</v>
      </c>
      <c r="E2483" s="12">
        <v>1344</v>
      </c>
      <c r="F2483" s="12"/>
    </row>
    <row r="2484" spans="1:6" ht="12.75">
      <c r="A2484" s="153" t="s">
        <v>453</v>
      </c>
      <c r="B2484" s="167">
        <f t="shared" si="41"/>
        <v>633</v>
      </c>
      <c r="C2484" s="12"/>
      <c r="D2484" s="12"/>
      <c r="E2484" s="12"/>
      <c r="F2484" s="12">
        <v>633</v>
      </c>
    </row>
    <row r="2485" spans="1:6" ht="12.75">
      <c r="A2485" s="153" t="s">
        <v>441</v>
      </c>
      <c r="B2485" s="167">
        <f t="shared" si="41"/>
        <v>3360</v>
      </c>
      <c r="C2485" s="12"/>
      <c r="D2485" s="12">
        <v>0</v>
      </c>
      <c r="E2485" s="12">
        <v>3360</v>
      </c>
      <c r="F2485" s="12"/>
    </row>
    <row r="2486" spans="1:6" ht="12.75">
      <c r="A2486" s="153" t="s">
        <v>390</v>
      </c>
      <c r="B2486" s="167">
        <f t="shared" si="41"/>
        <v>42077.84</v>
      </c>
      <c r="C2486" s="12">
        <v>12799.41</v>
      </c>
      <c r="D2486" s="12">
        <v>10054</v>
      </c>
      <c r="E2486" s="12">
        <v>6661</v>
      </c>
      <c r="F2486" s="12">
        <v>12563.43</v>
      </c>
    </row>
    <row r="2487" spans="1:6" ht="12.75">
      <c r="A2487" s="153" t="s">
        <v>28</v>
      </c>
      <c r="B2487" s="167">
        <f t="shared" si="41"/>
        <v>7578.2</v>
      </c>
      <c r="C2487" s="12">
        <v>1991</v>
      </c>
      <c r="D2487" s="12">
        <v>1315.2</v>
      </c>
      <c r="E2487" s="12">
        <v>2732</v>
      </c>
      <c r="F2487" s="12">
        <v>1540</v>
      </c>
    </row>
    <row r="2488" spans="1:6" ht="12.75">
      <c r="A2488" s="153" t="s">
        <v>41</v>
      </c>
      <c r="B2488" s="167">
        <f t="shared" si="41"/>
        <v>4604</v>
      </c>
      <c r="C2488" s="12"/>
      <c r="D2488" s="12">
        <v>3654</v>
      </c>
      <c r="E2488" s="12">
        <v>950</v>
      </c>
      <c r="F2488" s="12"/>
    </row>
    <row r="2489" spans="1:6" ht="12.75">
      <c r="A2489" s="153" t="s">
        <v>50</v>
      </c>
      <c r="B2489" s="167">
        <f t="shared" si="41"/>
        <v>2959</v>
      </c>
      <c r="C2489" s="12"/>
      <c r="D2489" s="12">
        <v>1871</v>
      </c>
      <c r="E2489" s="12">
        <v>1088</v>
      </c>
      <c r="F2489" s="12"/>
    </row>
    <row r="2490" spans="1:6" ht="12.75">
      <c r="A2490" s="153" t="s">
        <v>439</v>
      </c>
      <c r="B2490" s="167">
        <f t="shared" si="41"/>
        <v>1220</v>
      </c>
      <c r="C2490" s="12"/>
      <c r="D2490" s="12"/>
      <c r="E2490" s="12">
        <v>1220</v>
      </c>
      <c r="F2490" s="12"/>
    </row>
    <row r="2491" spans="1:6" ht="22.5">
      <c r="A2491" s="153" t="s">
        <v>225</v>
      </c>
      <c r="B2491" s="167">
        <f t="shared" si="41"/>
        <v>360.27</v>
      </c>
      <c r="C2491" s="12">
        <v>360.27</v>
      </c>
      <c r="D2491" s="12"/>
      <c r="E2491" s="12"/>
      <c r="F2491" s="12"/>
    </row>
    <row r="2492" spans="1:6" ht="12.75">
      <c r="A2492" s="153" t="s">
        <v>27</v>
      </c>
      <c r="B2492" s="167">
        <f t="shared" si="41"/>
        <v>907</v>
      </c>
      <c r="C2492" s="12"/>
      <c r="D2492" s="12">
        <v>500</v>
      </c>
      <c r="E2492" s="12">
        <v>407</v>
      </c>
      <c r="F2492" s="12"/>
    </row>
    <row r="2493" spans="1:6" ht="12.75">
      <c r="A2493" s="153" t="s">
        <v>241</v>
      </c>
      <c r="B2493" s="167">
        <f t="shared" si="41"/>
        <v>221.2</v>
      </c>
      <c r="C2493" s="12">
        <v>221.2</v>
      </c>
      <c r="D2493" s="12"/>
      <c r="E2493" s="12"/>
      <c r="F2493" s="12"/>
    </row>
    <row r="2494" spans="1:6" ht="12.75">
      <c r="A2494" s="153" t="s">
        <v>47</v>
      </c>
      <c r="B2494" s="167">
        <f t="shared" si="41"/>
        <v>210</v>
      </c>
      <c r="C2494" s="12"/>
      <c r="D2494" s="12"/>
      <c r="E2494" s="12"/>
      <c r="F2494" s="12">
        <v>210</v>
      </c>
    </row>
    <row r="2495" spans="1:6" ht="12.75">
      <c r="A2495" s="153" t="s">
        <v>440</v>
      </c>
      <c r="B2495" s="167">
        <f t="shared" si="41"/>
        <v>68949</v>
      </c>
      <c r="C2495" s="12"/>
      <c r="D2495" s="12">
        <v>62139</v>
      </c>
      <c r="E2495" s="12">
        <v>6810</v>
      </c>
      <c r="F2495" s="12"/>
    </row>
    <row r="2496" spans="1:6" ht="12.75">
      <c r="A2496" s="153" t="s">
        <v>307</v>
      </c>
      <c r="B2496" s="167">
        <f t="shared" si="41"/>
        <v>99</v>
      </c>
      <c r="C2496" s="12"/>
      <c r="D2496" s="12">
        <v>99</v>
      </c>
      <c r="E2496" s="12"/>
      <c r="F2496" s="12"/>
    </row>
    <row r="2497" spans="1:6" ht="12.75">
      <c r="A2497" s="153" t="s">
        <v>308</v>
      </c>
      <c r="B2497" s="167">
        <f t="shared" si="41"/>
        <v>447</v>
      </c>
      <c r="C2497" s="12">
        <v>200</v>
      </c>
      <c r="D2497" s="12">
        <v>247</v>
      </c>
      <c r="E2497" s="12"/>
      <c r="F2497" s="12"/>
    </row>
    <row r="2498" spans="1:6" ht="12.75">
      <c r="A2498" s="153" t="s">
        <v>310</v>
      </c>
      <c r="B2498" s="167">
        <f t="shared" si="41"/>
        <v>53550</v>
      </c>
      <c r="C2498" s="12"/>
      <c r="D2498" s="12">
        <v>53550</v>
      </c>
      <c r="E2498" s="12"/>
      <c r="F2498" s="12"/>
    </row>
    <row r="2499" spans="1:6" ht="12.75">
      <c r="A2499" s="153" t="s">
        <v>309</v>
      </c>
      <c r="B2499" s="167">
        <f t="shared" si="41"/>
        <v>8900</v>
      </c>
      <c r="C2499" s="12"/>
      <c r="D2499" s="12">
        <v>8900</v>
      </c>
      <c r="E2499" s="12"/>
      <c r="F2499" s="12"/>
    </row>
    <row r="2500" spans="1:6" ht="12.75">
      <c r="A2500" s="153" t="s">
        <v>574</v>
      </c>
      <c r="B2500" s="167">
        <f t="shared" si="41"/>
        <v>53</v>
      </c>
      <c r="C2500" s="12"/>
      <c r="D2500" s="12"/>
      <c r="E2500" s="12"/>
      <c r="F2500" s="12">
        <v>53</v>
      </c>
    </row>
    <row r="2501" spans="1:6" ht="12.75">
      <c r="A2501" s="153" t="s">
        <v>294</v>
      </c>
      <c r="B2501" s="167">
        <f t="shared" si="41"/>
        <v>24213.5</v>
      </c>
      <c r="C2501" s="12">
        <v>8100</v>
      </c>
      <c r="D2501" s="12">
        <v>318.5</v>
      </c>
      <c r="E2501" s="12">
        <v>15795</v>
      </c>
      <c r="F2501" s="12"/>
    </row>
    <row r="2502" spans="1:6" ht="12.75">
      <c r="A2502" s="155" t="s">
        <v>11</v>
      </c>
      <c r="B2502" s="166">
        <f>SUM(B2481:B2501)</f>
        <v>304077.623839</v>
      </c>
      <c r="C2502" s="157">
        <f>C2481+C2482+C2484+C2486+C2487+C2488+C2489+C2490+C2491+C2492+C2493+C2494+C2495+C2496+C2497+C2498+C2499+C2500+C2501</f>
        <v>37103.619464</v>
      </c>
      <c r="D2502" s="157">
        <f>SUM(D2481:D2501)</f>
        <v>178233.918395</v>
      </c>
      <c r="E2502" s="12">
        <f>SUM(E2481:E2501)</f>
        <v>56504.371943000006</v>
      </c>
      <c r="F2502" s="12">
        <f>SUM(F2481:F2501)</f>
        <v>32235.714037</v>
      </c>
    </row>
    <row r="2503" spans="1:6" ht="12.75">
      <c r="A2503" s="155" t="s">
        <v>19</v>
      </c>
      <c r="B2503" s="167">
        <f t="shared" si="41"/>
        <v>0</v>
      </c>
      <c r="C2503" s="12"/>
      <c r="D2503" s="12"/>
      <c r="E2503" s="12"/>
      <c r="F2503" s="12"/>
    </row>
    <row r="2504" spans="1:6" ht="12.75">
      <c r="A2504" s="153" t="s">
        <v>38</v>
      </c>
      <c r="B2504" s="167">
        <f t="shared" si="41"/>
        <v>2116.3524218100006</v>
      </c>
      <c r="C2504" s="12">
        <f>0.218666*C2463</f>
        <v>550.5069616200001</v>
      </c>
      <c r="D2504" s="12">
        <f>0.210458*C2463</f>
        <v>529.8427470600001</v>
      </c>
      <c r="E2504" s="12">
        <f>0.167241*E2463</f>
        <v>421.04092437</v>
      </c>
      <c r="F2504" s="12">
        <f>0.244268*F2463</f>
        <v>614.9617887600001</v>
      </c>
    </row>
    <row r="2505" spans="1:6" ht="12.75">
      <c r="A2505" s="153" t="s">
        <v>39</v>
      </c>
      <c r="B2505" s="167">
        <f t="shared" si="41"/>
        <v>4196.58526683</v>
      </c>
      <c r="C2505" s="12">
        <f>0.306583*C2463</f>
        <v>771.84416331</v>
      </c>
      <c r="D2505" s="12">
        <f>0.0733554*C2463</f>
        <v>184.67735437800002</v>
      </c>
      <c r="E2505" s="12">
        <f>0.536065*E2463</f>
        <v>1349.58116205</v>
      </c>
      <c r="F2505" s="12">
        <f>0.7509156*F2463</f>
        <v>1890.4825870920001</v>
      </c>
    </row>
    <row r="2506" spans="1:6" ht="12.75">
      <c r="A2506" s="153" t="s">
        <v>32</v>
      </c>
      <c r="B2506" s="167">
        <f t="shared" si="41"/>
        <v>0</v>
      </c>
      <c r="C2506" s="12"/>
      <c r="D2506" s="12"/>
      <c r="E2506" s="12"/>
      <c r="F2506" s="12"/>
    </row>
    <row r="2507" spans="1:6" ht="12.75">
      <c r="A2507" s="153" t="s">
        <v>37</v>
      </c>
      <c r="B2507" s="167">
        <f t="shared" si="41"/>
        <v>5421.724957836001</v>
      </c>
      <c r="C2507" s="12">
        <f>0.70476*C2463</f>
        <v>1774.2826332000002</v>
      </c>
      <c r="D2507" s="12">
        <f>0.3731258*C2463</f>
        <v>939.370320306</v>
      </c>
      <c r="E2507" s="12">
        <f>0.553205*E2463</f>
        <v>1392.7323118499999</v>
      </c>
      <c r="F2507" s="12">
        <f>0.522464*F2463</f>
        <v>1315.3396924800002</v>
      </c>
    </row>
    <row r="2508" spans="1:6" ht="12.75">
      <c r="A2508" s="153" t="s">
        <v>20</v>
      </c>
      <c r="B2508" s="167">
        <f t="shared" si="41"/>
        <v>2004.8114829600001</v>
      </c>
      <c r="C2508" s="12"/>
      <c r="D2508" s="12">
        <f>0.158142*C2463</f>
        <v>398.13355494</v>
      </c>
      <c r="E2508" s="12">
        <f>0.60489*E2463</f>
        <v>1522.8529173000002</v>
      </c>
      <c r="F2508" s="12">
        <f>0.033296*F2463</f>
        <v>83.82501072000001</v>
      </c>
    </row>
    <row r="2509" spans="1:6" ht="12.75">
      <c r="A2509" s="153" t="s">
        <v>73</v>
      </c>
      <c r="B2509" s="167">
        <f t="shared" si="41"/>
        <v>0</v>
      </c>
      <c r="C2509" s="12"/>
      <c r="D2509" s="12"/>
      <c r="E2509" s="12"/>
      <c r="F2509" s="12"/>
    </row>
    <row r="2510" spans="1:6" ht="12.75">
      <c r="A2510" s="156" t="s">
        <v>11</v>
      </c>
      <c r="B2510" s="166">
        <f t="shared" si="41"/>
        <v>13739.474129436</v>
      </c>
      <c r="C2510" s="157">
        <f>C2504+C2505+C2506+C2507+C2508</f>
        <v>3096.6337581300004</v>
      </c>
      <c r="D2510" s="157">
        <f>SUM(D2504:D2509)</f>
        <v>2052.023976684</v>
      </c>
      <c r="E2510" s="12">
        <f>SUM(E2504:E2509)</f>
        <v>4686.20731557</v>
      </c>
      <c r="F2510" s="12">
        <f>F2504+F2505+F2506+F2507+F2508</f>
        <v>3904.609079052</v>
      </c>
    </row>
    <row r="2511" spans="1:6" ht="12.75">
      <c r="A2511" s="153" t="s">
        <v>101</v>
      </c>
      <c r="B2511" s="166">
        <f t="shared" si="41"/>
        <v>1642.33167952</v>
      </c>
      <c r="C2511" s="157">
        <f>0.0644*C2463</f>
        <v>162.131508</v>
      </c>
      <c r="D2511" s="157">
        <v>139</v>
      </c>
      <c r="E2511" s="12">
        <f>0.10264*E2463</f>
        <v>258.4033848</v>
      </c>
      <c r="F2511" s="12">
        <f>0.430096*F2463</f>
        <v>1082.79678672</v>
      </c>
    </row>
    <row r="2512" spans="1:6" ht="33.75">
      <c r="A2512" s="161" t="s">
        <v>21</v>
      </c>
      <c r="B2512" s="166">
        <f t="shared" si="41"/>
        <v>490026.526108486</v>
      </c>
      <c r="C2512" s="157">
        <f>C2479+C2502+C2510+C2511</f>
        <v>81359.81360913001</v>
      </c>
      <c r="D2512" s="157">
        <f>D2479+D2502+D2510+D2511</f>
        <v>222357.77661168398</v>
      </c>
      <c r="E2512" s="12">
        <f>E2479+E2502+E2510</f>
        <v>108144.88844057001</v>
      </c>
      <c r="F2512" s="12">
        <f>F2479+F2502+F2510+F2511</f>
        <v>78164.047447102</v>
      </c>
    </row>
    <row r="2513" spans="1:6" ht="45">
      <c r="A2513" s="161" t="s">
        <v>22</v>
      </c>
      <c r="B2513" s="168">
        <f>B2512/12/C2463</f>
        <v>16.22022181801254</v>
      </c>
      <c r="C2513" s="172">
        <f>C2512/C2463/3</f>
        <v>10.772267650833939</v>
      </c>
      <c r="D2513" s="14">
        <f>D2512/3/C2463</f>
        <v>29.440793650449173</v>
      </c>
      <c r="E2513" s="13">
        <f>E2512/3/C2463</f>
        <v>14.318686728415365</v>
      </c>
      <c r="F2513" s="13">
        <f>F2512/3/C2463</f>
        <v>10.349139242351685</v>
      </c>
    </row>
    <row r="2514" spans="1:6" ht="12.75">
      <c r="A2514" s="163" t="s">
        <v>34</v>
      </c>
      <c r="B2514" s="154">
        <f>B2467-B2512</f>
        <v>-217170.92610848602</v>
      </c>
      <c r="C2514" s="165">
        <f>C2467-C2512</f>
        <v>-23763.02360913001</v>
      </c>
      <c r="D2514" s="12">
        <f>D2467-D2512-23763</f>
        <v>-173112.34661168398</v>
      </c>
      <c r="E2514" s="12">
        <f>E2467-E2512-173112</f>
        <v>-211916.44844057</v>
      </c>
      <c r="F2514" s="12">
        <f>F2467-F2512-211916</f>
        <v>-217170.107447102</v>
      </c>
    </row>
    <row r="2515" spans="1:6" ht="12.75">
      <c r="A2515" s="29" t="s">
        <v>44</v>
      </c>
      <c r="B2515" s="29"/>
      <c r="C2515" s="29"/>
      <c r="D2515" s="29"/>
      <c r="E2515" s="29"/>
      <c r="F2515" s="29"/>
    </row>
    <row r="2516" spans="1:6" ht="12.75">
      <c r="A2516" s="29" t="s">
        <v>45</v>
      </c>
      <c r="B2516" s="29"/>
      <c r="C2516" s="29"/>
      <c r="D2516" s="29"/>
      <c r="E2516" s="29"/>
      <c r="F2516" s="29"/>
    </row>
    <row r="2517" spans="1:6" ht="12.75">
      <c r="A2517" s="29" t="s">
        <v>579</v>
      </c>
      <c r="B2517" s="29"/>
      <c r="C2517" s="29"/>
      <c r="D2517" s="29"/>
      <c r="E2517" s="29"/>
      <c r="F2517" s="29"/>
    </row>
    <row r="2518" spans="1:6" ht="291.75" customHeight="1">
      <c r="A2518" s="29"/>
      <c r="B2518" s="29"/>
      <c r="C2518" s="29"/>
      <c r="D2518" s="29"/>
      <c r="E2518" s="29"/>
      <c r="F2518" s="29"/>
    </row>
    <row r="2519" spans="1:6" ht="12.75">
      <c r="A2519" s="120" t="s">
        <v>35</v>
      </c>
      <c r="B2519" s="120"/>
      <c r="C2519" s="29"/>
      <c r="D2519" s="29"/>
      <c r="E2519" s="29"/>
      <c r="F2519" s="29"/>
    </row>
    <row r="2520" spans="1:6" ht="12.75">
      <c r="A2520" s="29" t="s">
        <v>616</v>
      </c>
      <c r="B2520" s="29"/>
      <c r="C2520" s="29"/>
      <c r="D2520" s="29"/>
      <c r="E2520" s="29"/>
      <c r="F2520" s="29"/>
    </row>
    <row r="2521" spans="1:6" ht="12.75">
      <c r="A2521" s="29" t="s">
        <v>224</v>
      </c>
      <c r="B2521" s="29"/>
      <c r="C2521" s="29"/>
      <c r="D2521" s="29"/>
      <c r="E2521" s="29"/>
      <c r="F2521" s="29"/>
    </row>
    <row r="2522" spans="1:6" ht="12.75">
      <c r="A2522" s="29" t="s">
        <v>80</v>
      </c>
      <c r="B2522" s="29"/>
      <c r="C2522" s="29"/>
      <c r="D2522" s="29"/>
      <c r="E2522" s="29" t="s">
        <v>340</v>
      </c>
      <c r="F2522" s="29"/>
    </row>
    <row r="2523" spans="1:6" ht="12.75">
      <c r="A2523" s="10" t="s">
        <v>1</v>
      </c>
      <c r="B2523" s="10" t="s">
        <v>11</v>
      </c>
      <c r="C2523" s="10" t="s">
        <v>86</v>
      </c>
      <c r="D2523" s="10" t="s">
        <v>87</v>
      </c>
      <c r="E2523" s="10" t="s">
        <v>120</v>
      </c>
      <c r="F2523" s="10" t="s">
        <v>141</v>
      </c>
    </row>
    <row r="2524" spans="1:6" ht="12.75">
      <c r="A2524" s="22" t="s">
        <v>6</v>
      </c>
      <c r="B2524" s="22"/>
      <c r="C2524" s="10"/>
      <c r="D2524" s="5"/>
      <c r="E2524" s="10"/>
      <c r="F2524" s="5"/>
    </row>
    <row r="2525" spans="1:6" ht="12.75">
      <c r="A2525" s="5" t="s">
        <v>2</v>
      </c>
      <c r="B2525" s="5"/>
      <c r="C2525" s="10">
        <v>5</v>
      </c>
      <c r="D2525" s="5"/>
      <c r="E2525" s="10"/>
      <c r="F2525" s="5"/>
    </row>
    <row r="2526" spans="1:6" ht="12.75">
      <c r="A2526" s="5" t="s">
        <v>3</v>
      </c>
      <c r="B2526" s="5"/>
      <c r="C2526" s="10">
        <v>6</v>
      </c>
      <c r="D2526" s="5"/>
      <c r="E2526" s="10"/>
      <c r="F2526" s="5"/>
    </row>
    <row r="2527" spans="1:6" ht="12.75">
      <c r="A2527" s="5" t="s">
        <v>4</v>
      </c>
      <c r="B2527" s="5"/>
      <c r="C2527" s="10">
        <v>60</v>
      </c>
      <c r="D2527" s="5"/>
      <c r="E2527" s="10"/>
      <c r="F2527" s="5"/>
    </row>
    <row r="2528" spans="1:6" ht="12.75">
      <c r="A2528" s="5" t="s">
        <v>5</v>
      </c>
      <c r="B2528" s="5"/>
      <c r="C2528" s="10">
        <v>3604.55</v>
      </c>
      <c r="D2528" s="5"/>
      <c r="E2528" s="10"/>
      <c r="F2528" s="5"/>
    </row>
    <row r="2529" spans="1:6" ht="22.5">
      <c r="A2529" s="150" t="s">
        <v>7</v>
      </c>
      <c r="B2529" s="150"/>
      <c r="C2529" s="5" t="s">
        <v>36</v>
      </c>
      <c r="D2529" s="5"/>
      <c r="E2529" s="10"/>
      <c r="F2529" s="5"/>
    </row>
    <row r="2530" spans="1:6" ht="22.5">
      <c r="A2530" s="151" t="s">
        <v>8</v>
      </c>
      <c r="B2530" s="6">
        <f>C2530+D2530+E2530+F2530</f>
        <v>32626.72</v>
      </c>
      <c r="C2530" s="10">
        <v>30349.55</v>
      </c>
      <c r="D2530" s="10"/>
      <c r="E2530" s="10"/>
      <c r="F2530" s="10">
        <v>2277.17</v>
      </c>
    </row>
    <row r="2531" spans="1:6" ht="22.5">
      <c r="A2531" s="153" t="s">
        <v>9</v>
      </c>
      <c r="B2531" s="6">
        <f>C2531+D2531+E2531+F2531</f>
        <v>0</v>
      </c>
      <c r="C2531" s="10">
        <v>0</v>
      </c>
      <c r="D2531" s="10">
        <v>0</v>
      </c>
      <c r="E2531" s="10">
        <v>0</v>
      </c>
      <c r="F2531" s="10">
        <v>0</v>
      </c>
    </row>
    <row r="2532" spans="1:6" ht="12.75">
      <c r="A2532" s="5" t="s">
        <v>11</v>
      </c>
      <c r="B2532" s="150">
        <f>C2532+D2532+E2532+F2532</f>
        <v>32626.72</v>
      </c>
      <c r="C2532" s="22">
        <f>C2530+C2531</f>
        <v>30349.55</v>
      </c>
      <c r="D2532" s="22">
        <f>SUM(D2530:D2531)</f>
        <v>0</v>
      </c>
      <c r="E2532" s="22">
        <f>SUM(E2530:E2531)</f>
        <v>0</v>
      </c>
      <c r="F2532" s="22">
        <f>SUM(F2530:F2531)</f>
        <v>2277.17</v>
      </c>
    </row>
    <row r="2533" spans="1:6" ht="22.5">
      <c r="A2533" s="150" t="s">
        <v>12</v>
      </c>
      <c r="B2533" s="150"/>
      <c r="C2533" s="5"/>
      <c r="D2533" s="5"/>
      <c r="E2533" s="10"/>
      <c r="F2533" s="5"/>
    </row>
    <row r="2534" spans="1:7" ht="12.75">
      <c r="A2534" s="156" t="s">
        <v>13</v>
      </c>
      <c r="B2534" s="166">
        <f>C2534+D2534+E2534+F2534</f>
        <v>0</v>
      </c>
      <c r="C2534" s="157"/>
      <c r="D2534" s="157"/>
      <c r="E2534" s="157"/>
      <c r="F2534" s="157"/>
      <c r="G2534" s="8"/>
    </row>
    <row r="2535" spans="1:6" ht="21.75">
      <c r="A2535" s="156" t="s">
        <v>14</v>
      </c>
      <c r="B2535" s="167">
        <f aca="true" t="shared" si="42" ref="B2535:B2575">C2535+D2535+E2535+F2535</f>
        <v>0</v>
      </c>
      <c r="C2535" s="12"/>
      <c r="D2535" s="12"/>
      <c r="E2535" s="12"/>
      <c r="F2535" s="12"/>
    </row>
    <row r="2536" spans="1:6" ht="12.75">
      <c r="A2536" s="153" t="s">
        <v>15</v>
      </c>
      <c r="B2536" s="167">
        <f t="shared" si="42"/>
        <v>0</v>
      </c>
      <c r="C2536" s="12"/>
      <c r="D2536" s="12"/>
      <c r="E2536" s="12"/>
      <c r="F2536" s="12"/>
    </row>
    <row r="2537" spans="1:6" ht="12.75">
      <c r="A2537" s="158" t="s">
        <v>16</v>
      </c>
      <c r="B2537" s="167">
        <f t="shared" si="42"/>
        <v>0</v>
      </c>
      <c r="C2537" s="165"/>
      <c r="D2537" s="12"/>
      <c r="E2537" s="12"/>
      <c r="F2537" s="12"/>
    </row>
    <row r="2538" spans="1:6" ht="12.75">
      <c r="A2538" s="153" t="s">
        <v>33</v>
      </c>
      <c r="B2538" s="167">
        <f t="shared" si="42"/>
        <v>0</v>
      </c>
      <c r="C2538" s="165"/>
      <c r="D2538" s="12"/>
      <c r="E2538" s="12"/>
      <c r="F2538" s="12"/>
    </row>
    <row r="2539" spans="1:6" ht="12.75">
      <c r="A2539" s="153" t="s">
        <v>24</v>
      </c>
      <c r="B2539" s="167">
        <f t="shared" si="42"/>
        <v>0</v>
      </c>
      <c r="C2539" s="12"/>
      <c r="D2539" s="12"/>
      <c r="E2539" s="12"/>
      <c r="F2539" s="12"/>
    </row>
    <row r="2540" spans="1:6" ht="12.75">
      <c r="A2540" s="153" t="s">
        <v>17</v>
      </c>
      <c r="B2540" s="167">
        <f t="shared" si="42"/>
        <v>0</v>
      </c>
      <c r="C2540" s="12"/>
      <c r="D2540" s="12"/>
      <c r="E2540" s="12"/>
      <c r="F2540" s="12"/>
    </row>
    <row r="2541" spans="1:6" ht="12.75">
      <c r="A2541" s="153" t="s">
        <v>40</v>
      </c>
      <c r="B2541" s="167">
        <f t="shared" si="42"/>
        <v>0</v>
      </c>
      <c r="C2541" s="12"/>
      <c r="D2541" s="12"/>
      <c r="E2541" s="12"/>
      <c r="F2541" s="12"/>
    </row>
    <row r="2542" spans="1:6" ht="12.75">
      <c r="A2542" s="153" t="s">
        <v>65</v>
      </c>
      <c r="B2542" s="167">
        <f t="shared" si="42"/>
        <v>0</v>
      </c>
      <c r="C2542" s="12"/>
      <c r="D2542" s="12"/>
      <c r="E2542" s="12"/>
      <c r="F2542" s="12"/>
    </row>
    <row r="2543" spans="1:6" ht="12.75">
      <c r="A2543" s="153" t="s">
        <v>94</v>
      </c>
      <c r="B2543" s="167">
        <f t="shared" si="42"/>
        <v>0</v>
      </c>
      <c r="C2543" s="12"/>
      <c r="D2543" s="12"/>
      <c r="E2543" s="12"/>
      <c r="F2543" s="12"/>
    </row>
    <row r="2544" spans="1:6" ht="12.75">
      <c r="A2544" s="155" t="s">
        <v>11</v>
      </c>
      <c r="B2544" s="166">
        <f t="shared" si="42"/>
        <v>0</v>
      </c>
      <c r="C2544" s="157">
        <f>C2534+C2536</f>
        <v>0</v>
      </c>
      <c r="D2544" s="157">
        <f>D2534+D2536</f>
        <v>0</v>
      </c>
      <c r="E2544" s="157">
        <f>E2534+E2536</f>
        <v>0</v>
      </c>
      <c r="F2544" s="157">
        <f>F2534+F2536</f>
        <v>0</v>
      </c>
    </row>
    <row r="2545" spans="1:6" ht="21.75">
      <c r="A2545" s="159" t="s">
        <v>18</v>
      </c>
      <c r="B2545" s="167">
        <f t="shared" si="42"/>
        <v>0</v>
      </c>
      <c r="C2545" s="12"/>
      <c r="D2545" s="12"/>
      <c r="E2545" s="12"/>
      <c r="F2545" s="12"/>
    </row>
    <row r="2546" spans="1:6" ht="12.75">
      <c r="A2546" s="153" t="s">
        <v>23</v>
      </c>
      <c r="B2546" s="167">
        <f t="shared" si="42"/>
        <v>0</v>
      </c>
      <c r="C2546" s="165"/>
      <c r="D2546" s="12"/>
      <c r="E2546" s="12"/>
      <c r="F2546" s="12"/>
    </row>
    <row r="2547" spans="1:6" ht="12.75">
      <c r="A2547" s="153" t="s">
        <v>56</v>
      </c>
      <c r="B2547" s="167">
        <f t="shared" si="42"/>
        <v>0</v>
      </c>
      <c r="C2547" s="12"/>
      <c r="D2547" s="12"/>
      <c r="E2547" s="12"/>
      <c r="F2547" s="12"/>
    </row>
    <row r="2548" spans="1:6" ht="12.75">
      <c r="A2548" s="153" t="s">
        <v>59</v>
      </c>
      <c r="B2548" s="167">
        <f t="shared" si="42"/>
        <v>0</v>
      </c>
      <c r="C2548" s="12"/>
      <c r="D2548" s="12"/>
      <c r="E2548" s="12"/>
      <c r="F2548" s="12"/>
    </row>
    <row r="2549" spans="1:6" ht="12.75">
      <c r="A2549" s="153" t="s">
        <v>30</v>
      </c>
      <c r="B2549" s="167">
        <f t="shared" si="42"/>
        <v>0</v>
      </c>
      <c r="C2549" s="12"/>
      <c r="D2549" s="12"/>
      <c r="E2549" s="12"/>
      <c r="F2549" s="12"/>
    </row>
    <row r="2550" spans="1:6" ht="12.75">
      <c r="A2550" s="153" t="s">
        <v>28</v>
      </c>
      <c r="B2550" s="167">
        <f t="shared" si="42"/>
        <v>0</v>
      </c>
      <c r="C2550" s="12"/>
      <c r="D2550" s="12"/>
      <c r="E2550" s="12"/>
      <c r="F2550" s="12"/>
    </row>
    <row r="2551" spans="1:6" ht="12.75">
      <c r="A2551" s="153" t="s">
        <v>41</v>
      </c>
      <c r="B2551" s="167">
        <f t="shared" si="42"/>
        <v>0</v>
      </c>
      <c r="C2551" s="12"/>
      <c r="D2551" s="12"/>
      <c r="E2551" s="12"/>
      <c r="F2551" s="12"/>
    </row>
    <row r="2552" spans="1:6" ht="12.75">
      <c r="A2552" s="153" t="s">
        <v>50</v>
      </c>
      <c r="B2552" s="167">
        <f t="shared" si="42"/>
        <v>0</v>
      </c>
      <c r="C2552" s="12"/>
      <c r="D2552" s="12"/>
      <c r="E2552" s="12"/>
      <c r="F2552" s="12"/>
    </row>
    <row r="2553" spans="1:6" ht="12.75">
      <c r="A2553" s="153" t="s">
        <v>52</v>
      </c>
      <c r="B2553" s="167">
        <f t="shared" si="42"/>
        <v>0</v>
      </c>
      <c r="C2553" s="12"/>
      <c r="D2553" s="12"/>
      <c r="E2553" s="12"/>
      <c r="F2553" s="12"/>
    </row>
    <row r="2554" spans="1:6" ht="22.5">
      <c r="A2554" s="153" t="s">
        <v>225</v>
      </c>
      <c r="B2554" s="167">
        <f t="shared" si="42"/>
        <v>0</v>
      </c>
      <c r="C2554" s="12"/>
      <c r="D2554" s="12"/>
      <c r="E2554" s="12"/>
      <c r="F2554" s="12"/>
    </row>
    <row r="2555" spans="1:6" ht="12.75">
      <c r="A2555" s="153" t="s">
        <v>27</v>
      </c>
      <c r="B2555" s="167">
        <f t="shared" si="42"/>
        <v>0</v>
      </c>
      <c r="C2555" s="12"/>
      <c r="D2555" s="12"/>
      <c r="E2555" s="12"/>
      <c r="F2555" s="12"/>
    </row>
    <row r="2556" spans="1:6" ht="12.75">
      <c r="A2556" s="153" t="s">
        <v>127</v>
      </c>
      <c r="B2556" s="167">
        <f t="shared" si="42"/>
        <v>0</v>
      </c>
      <c r="C2556" s="12"/>
      <c r="D2556" s="12"/>
      <c r="E2556" s="12"/>
      <c r="F2556" s="12"/>
    </row>
    <row r="2557" spans="1:6" ht="12.75">
      <c r="A2557" s="153" t="s">
        <v>47</v>
      </c>
      <c r="B2557" s="167">
        <f t="shared" si="42"/>
        <v>0</v>
      </c>
      <c r="C2557" s="12"/>
      <c r="D2557" s="12"/>
      <c r="E2557" s="12"/>
      <c r="F2557" s="12"/>
    </row>
    <row r="2558" spans="1:6" ht="12.75">
      <c r="A2558" s="153" t="s">
        <v>82</v>
      </c>
      <c r="B2558" s="167">
        <f t="shared" si="42"/>
        <v>0</v>
      </c>
      <c r="C2558" s="12"/>
      <c r="D2558" s="12"/>
      <c r="E2558" s="12"/>
      <c r="F2558" s="12"/>
    </row>
    <row r="2559" spans="1:6" ht="12.75">
      <c r="A2559" s="153" t="s">
        <v>155</v>
      </c>
      <c r="B2559" s="167">
        <f t="shared" si="42"/>
        <v>0</v>
      </c>
      <c r="C2559" s="12"/>
      <c r="D2559" s="12"/>
      <c r="E2559" s="12"/>
      <c r="F2559" s="12"/>
    </row>
    <row r="2560" spans="1:6" ht="12.75">
      <c r="A2560" s="153" t="s">
        <v>72</v>
      </c>
      <c r="B2560" s="167">
        <f t="shared" si="42"/>
        <v>0</v>
      </c>
      <c r="C2560" s="12"/>
      <c r="D2560" s="12"/>
      <c r="E2560" s="12"/>
      <c r="F2560" s="12"/>
    </row>
    <row r="2561" spans="1:6" ht="12.75">
      <c r="A2561" s="153" t="s">
        <v>79</v>
      </c>
      <c r="B2561" s="167">
        <f t="shared" si="42"/>
        <v>0</v>
      </c>
      <c r="C2561" s="12"/>
      <c r="D2561" s="12"/>
      <c r="E2561" s="12"/>
      <c r="F2561" s="12"/>
    </row>
    <row r="2562" spans="1:6" ht="12.75">
      <c r="A2562" s="153" t="s">
        <v>154</v>
      </c>
      <c r="B2562" s="167">
        <f t="shared" si="42"/>
        <v>0</v>
      </c>
      <c r="C2562" s="12"/>
      <c r="D2562" s="12"/>
      <c r="E2562" s="12"/>
      <c r="F2562" s="12"/>
    </row>
    <row r="2563" spans="1:6" ht="12.75">
      <c r="A2563" s="153" t="s">
        <v>106</v>
      </c>
      <c r="B2563" s="167">
        <f t="shared" si="42"/>
        <v>0</v>
      </c>
      <c r="C2563" s="12"/>
      <c r="D2563" s="12"/>
      <c r="E2563" s="12"/>
      <c r="F2563" s="12"/>
    </row>
    <row r="2564" spans="1:6" ht="12.75">
      <c r="A2564" s="153" t="s">
        <v>67</v>
      </c>
      <c r="B2564" s="167">
        <f t="shared" si="42"/>
        <v>0</v>
      </c>
      <c r="C2564" s="12"/>
      <c r="D2564" s="12"/>
      <c r="E2564" s="12"/>
      <c r="F2564" s="12"/>
    </row>
    <row r="2565" spans="1:6" ht="12.75">
      <c r="A2565" s="155" t="s">
        <v>11</v>
      </c>
      <c r="B2565" s="166">
        <f t="shared" si="42"/>
        <v>0</v>
      </c>
      <c r="C2565" s="157">
        <f>C2546+C2547+C2548+C2549+C2550+C2551+C2552+C2553+C2554+C2555+C2556+C2557+C2558+C2559+C2560+C2561+C2562+C2563+C2564</f>
        <v>0</v>
      </c>
      <c r="D2565" s="157">
        <f>SUM(D2544:D2564)</f>
        <v>0</v>
      </c>
      <c r="E2565" s="157">
        <f>SUM(E2546:E2564)</f>
        <v>0</v>
      </c>
      <c r="F2565" s="157">
        <f>SUM(F2546:F2564)</f>
        <v>0</v>
      </c>
    </row>
    <row r="2566" spans="1:6" ht="12.75">
      <c r="A2566" s="155" t="s">
        <v>19</v>
      </c>
      <c r="B2566" s="167">
        <f t="shared" si="42"/>
        <v>0</v>
      </c>
      <c r="C2566" s="12"/>
      <c r="D2566" s="12"/>
      <c r="E2566" s="12"/>
      <c r="F2566" s="12"/>
    </row>
    <row r="2567" spans="1:6" ht="12.75">
      <c r="A2567" s="153" t="s">
        <v>38</v>
      </c>
      <c r="B2567" s="167">
        <f t="shared" si="42"/>
        <v>0</v>
      </c>
      <c r="C2567" s="12"/>
      <c r="D2567" s="12"/>
      <c r="E2567" s="12"/>
      <c r="F2567" s="12"/>
    </row>
    <row r="2568" spans="1:6" ht="12.75">
      <c r="A2568" s="153" t="s">
        <v>39</v>
      </c>
      <c r="B2568" s="167">
        <f t="shared" si="42"/>
        <v>0</v>
      </c>
      <c r="C2568" s="12"/>
      <c r="D2568" s="12"/>
      <c r="E2568" s="12"/>
      <c r="F2568" s="12"/>
    </row>
    <row r="2569" spans="1:6" ht="12.75">
      <c r="A2569" s="153" t="s">
        <v>32</v>
      </c>
      <c r="B2569" s="167">
        <f t="shared" si="42"/>
        <v>0</v>
      </c>
      <c r="C2569" s="12"/>
      <c r="D2569" s="12"/>
      <c r="E2569" s="12"/>
      <c r="F2569" s="12"/>
    </row>
    <row r="2570" spans="1:6" ht="12.75">
      <c r="A2570" s="153" t="s">
        <v>37</v>
      </c>
      <c r="B2570" s="167">
        <f t="shared" si="42"/>
        <v>0</v>
      </c>
      <c r="C2570" s="12"/>
      <c r="D2570" s="12"/>
      <c r="E2570" s="12"/>
      <c r="F2570" s="12"/>
    </row>
    <row r="2571" spans="1:6" ht="12.75">
      <c r="A2571" s="153" t="s">
        <v>20</v>
      </c>
      <c r="B2571" s="167">
        <f t="shared" si="42"/>
        <v>0</v>
      </c>
      <c r="C2571" s="12"/>
      <c r="D2571" s="12"/>
      <c r="E2571" s="12"/>
      <c r="F2571" s="12"/>
    </row>
    <row r="2572" spans="1:6" ht="12.75">
      <c r="A2572" s="153" t="s">
        <v>73</v>
      </c>
      <c r="B2572" s="167">
        <f t="shared" si="42"/>
        <v>0</v>
      </c>
      <c r="C2572" s="12"/>
      <c r="D2572" s="12"/>
      <c r="E2572" s="12"/>
      <c r="F2572" s="12"/>
    </row>
    <row r="2573" spans="1:6" ht="12.75">
      <c r="A2573" s="156" t="s">
        <v>11</v>
      </c>
      <c r="B2573" s="166">
        <f t="shared" si="42"/>
        <v>0</v>
      </c>
      <c r="C2573" s="157">
        <f>C2567+C2568+C2569+C2570+C2571</f>
        <v>0</v>
      </c>
      <c r="D2573" s="157">
        <f>SUM(D2567:D2572)</f>
        <v>0</v>
      </c>
      <c r="E2573" s="157">
        <f>SUM(E2567:E2572)</f>
        <v>0</v>
      </c>
      <c r="F2573" s="157">
        <f>SUM(F2567:F2572)</f>
        <v>0</v>
      </c>
    </row>
    <row r="2574" spans="1:6" ht="12.75">
      <c r="A2574" s="153" t="s">
        <v>101</v>
      </c>
      <c r="B2574" s="167">
        <f t="shared" si="42"/>
        <v>0</v>
      </c>
      <c r="C2574" s="157"/>
      <c r="D2574" s="157"/>
      <c r="E2574" s="12"/>
      <c r="F2574" s="12"/>
    </row>
    <row r="2575" spans="1:6" ht="33.75">
      <c r="A2575" s="161" t="s">
        <v>21</v>
      </c>
      <c r="B2575" s="166">
        <f t="shared" si="42"/>
        <v>0</v>
      </c>
      <c r="C2575" s="157">
        <f>C2544+C2565+C2573</f>
        <v>0</v>
      </c>
      <c r="D2575" s="157">
        <f>D2544+D2565+D2573+D2574</f>
        <v>0</v>
      </c>
      <c r="E2575" s="157">
        <f>E2544+E2565+E2573</f>
        <v>0</v>
      </c>
      <c r="F2575" s="157">
        <f>F2544+F2565+F2573+F2574</f>
        <v>0</v>
      </c>
    </row>
    <row r="2576" spans="1:6" ht="45">
      <c r="A2576" s="161" t="s">
        <v>22</v>
      </c>
      <c r="B2576" s="162">
        <f>B2575/12/C2528</f>
        <v>0</v>
      </c>
      <c r="C2576" s="14">
        <f>C2575/C2528/3</f>
        <v>0</v>
      </c>
      <c r="D2576" s="14">
        <f>D2575/3/C2528</f>
        <v>0</v>
      </c>
      <c r="E2576" s="14">
        <f>E2575/3/C2528</f>
        <v>0</v>
      </c>
      <c r="F2576" s="14">
        <f>F2575/3/C2528</f>
        <v>0</v>
      </c>
    </row>
    <row r="2577" spans="1:6" ht="12.75">
      <c r="A2577" s="163" t="s">
        <v>34</v>
      </c>
      <c r="B2577" s="154">
        <f>B2532-B2575</f>
        <v>32626.72</v>
      </c>
      <c r="C2577" s="165">
        <f>C2532-C2575</f>
        <v>30349.55</v>
      </c>
      <c r="D2577" s="12">
        <f>D2532-D2575-58</f>
        <v>-58</v>
      </c>
      <c r="E2577" s="12"/>
      <c r="F2577" s="12"/>
    </row>
    <row r="2578" spans="1:6" ht="12.75">
      <c r="A2578" s="29" t="s">
        <v>44</v>
      </c>
      <c r="B2578" s="29"/>
      <c r="C2578" s="29"/>
      <c r="D2578" s="29"/>
      <c r="E2578" s="29"/>
      <c r="F2578" s="29"/>
    </row>
    <row r="2579" spans="1:6" ht="12.75">
      <c r="A2579" s="29" t="s">
        <v>45</v>
      </c>
      <c r="B2579" s="29"/>
      <c r="C2579" s="29"/>
      <c r="D2579" s="29"/>
      <c r="E2579" s="29"/>
      <c r="F2579" s="29"/>
    </row>
    <row r="2580" spans="1:6" ht="12.75">
      <c r="A2580" s="29" t="s">
        <v>579</v>
      </c>
      <c r="B2580" s="29"/>
      <c r="C2580" s="29"/>
      <c r="D2580" s="29"/>
      <c r="E2580" s="29"/>
      <c r="F2580" s="29"/>
    </row>
    <row r="2581" spans="1:6" ht="12.75">
      <c r="A2581" s="29"/>
      <c r="B2581" s="29"/>
      <c r="C2581" s="29"/>
      <c r="D2581" s="29"/>
      <c r="E2581" s="29"/>
      <c r="F2581" s="29"/>
    </row>
    <row r="2582" spans="1:6" ht="12.75">
      <c r="A2582" s="29"/>
      <c r="B2582" s="29"/>
      <c r="C2582" s="29"/>
      <c r="D2582" s="29"/>
      <c r="E2582" s="29"/>
      <c r="F2582" s="29"/>
    </row>
    <row r="2583" spans="1:6" ht="288.75" customHeight="1">
      <c r="A2583" s="29"/>
      <c r="B2583" s="29"/>
      <c r="C2583" s="29"/>
      <c r="D2583" s="29"/>
      <c r="E2583" s="29"/>
      <c r="F2583" s="29"/>
    </row>
    <row r="2584" spans="1:6" ht="12.75">
      <c r="A2584" s="120" t="s">
        <v>35</v>
      </c>
      <c r="B2584" s="120"/>
      <c r="C2584" s="29"/>
      <c r="D2584" s="29"/>
      <c r="E2584" s="29"/>
      <c r="F2584" s="29"/>
    </row>
    <row r="2585" spans="1:6" ht="12.75">
      <c r="A2585" s="29" t="s">
        <v>616</v>
      </c>
      <c r="B2585" s="29"/>
      <c r="C2585" s="29"/>
      <c r="D2585" s="29"/>
      <c r="E2585" s="29"/>
      <c r="F2585" s="29"/>
    </row>
    <row r="2586" spans="1:6" ht="12.75">
      <c r="A2586" s="29" t="s">
        <v>224</v>
      </c>
      <c r="B2586" s="29"/>
      <c r="C2586" s="29"/>
      <c r="D2586" s="29"/>
      <c r="E2586" s="29"/>
      <c r="F2586" s="29"/>
    </row>
    <row r="2587" spans="1:6" ht="12.75">
      <c r="A2587" s="29" t="s">
        <v>83</v>
      </c>
      <c r="B2587" s="29"/>
      <c r="C2587" s="29"/>
      <c r="D2587" s="29"/>
      <c r="E2587" s="29" t="s">
        <v>340</v>
      </c>
      <c r="F2587" s="29"/>
    </row>
    <row r="2588" spans="1:6" ht="12.75">
      <c r="A2588" s="10" t="s">
        <v>1</v>
      </c>
      <c r="B2588" s="10" t="s">
        <v>11</v>
      </c>
      <c r="C2588" s="10" t="s">
        <v>86</v>
      </c>
      <c r="D2588" s="10" t="s">
        <v>87</v>
      </c>
      <c r="E2588" s="10" t="s">
        <v>120</v>
      </c>
      <c r="F2588" s="10" t="s">
        <v>141</v>
      </c>
    </row>
    <row r="2589" spans="1:6" ht="12.75">
      <c r="A2589" s="22" t="s">
        <v>6</v>
      </c>
      <c r="B2589" s="22"/>
      <c r="C2589" s="10"/>
      <c r="D2589" s="5"/>
      <c r="E2589" s="5"/>
      <c r="F2589" s="5"/>
    </row>
    <row r="2590" spans="1:6" ht="12.75">
      <c r="A2590" s="5" t="s">
        <v>2</v>
      </c>
      <c r="B2590" s="5"/>
      <c r="C2590" s="10">
        <v>5</v>
      </c>
      <c r="D2590" s="5"/>
      <c r="E2590" s="5"/>
      <c r="F2590" s="5"/>
    </row>
    <row r="2591" spans="1:6" ht="12.75">
      <c r="A2591" s="5" t="s">
        <v>3</v>
      </c>
      <c r="B2591" s="5"/>
      <c r="C2591" s="10">
        <v>3</v>
      </c>
      <c r="D2591" s="5"/>
      <c r="E2591" s="5"/>
      <c r="F2591" s="5"/>
    </row>
    <row r="2592" spans="1:6" ht="12.75">
      <c r="A2592" s="5" t="s">
        <v>4</v>
      </c>
      <c r="B2592" s="5"/>
      <c r="C2592" s="10">
        <v>60</v>
      </c>
      <c r="D2592" s="5"/>
      <c r="E2592" s="5"/>
      <c r="F2592" s="5"/>
    </row>
    <row r="2593" spans="1:6" ht="12.75">
      <c r="A2593" s="5" t="s">
        <v>5</v>
      </c>
      <c r="B2593" s="10">
        <v>1806.12</v>
      </c>
      <c r="C2593" s="10">
        <v>1806.12</v>
      </c>
      <c r="D2593" s="10">
        <v>1806.12</v>
      </c>
      <c r="E2593" s="10">
        <v>1806.12</v>
      </c>
      <c r="F2593" s="10">
        <v>1806.12</v>
      </c>
    </row>
    <row r="2594" spans="1:6" ht="22.5">
      <c r="A2594" s="150" t="s">
        <v>7</v>
      </c>
      <c r="B2594" s="150"/>
      <c r="C2594" s="5" t="s">
        <v>36</v>
      </c>
      <c r="D2594" s="5"/>
      <c r="E2594" s="5"/>
      <c r="F2594" s="5"/>
    </row>
    <row r="2595" spans="1:6" ht="22.5">
      <c r="A2595" s="151" t="s">
        <v>8</v>
      </c>
      <c r="B2595" s="152">
        <f>C2595+D2595+E2595+F2595</f>
        <v>224922.56</v>
      </c>
      <c r="C2595" s="10">
        <v>44932.42</v>
      </c>
      <c r="D2595" s="10">
        <v>56750.86</v>
      </c>
      <c r="E2595" s="7">
        <v>62934.89</v>
      </c>
      <c r="F2595" s="10">
        <v>60304.39</v>
      </c>
    </row>
    <row r="2596" spans="1:6" ht="22.5">
      <c r="A2596" s="153" t="s">
        <v>9</v>
      </c>
      <c r="B2596" s="152">
        <f>C2596+D2596+E2596+F2596</f>
        <v>0</v>
      </c>
      <c r="C2596" s="10">
        <v>0</v>
      </c>
      <c r="D2596" s="10">
        <v>0</v>
      </c>
      <c r="E2596" s="7">
        <v>0</v>
      </c>
      <c r="F2596" s="10">
        <v>0</v>
      </c>
    </row>
    <row r="2597" spans="1:6" ht="12.75">
      <c r="A2597" s="5" t="s">
        <v>11</v>
      </c>
      <c r="B2597" s="169">
        <f>C2597+D2597+E2597+F2597</f>
        <v>224922.56</v>
      </c>
      <c r="C2597" s="22">
        <f>C2595+C2596</f>
        <v>44932.42</v>
      </c>
      <c r="D2597" s="22">
        <f>SUM(D2595:D2596)</f>
        <v>56750.86</v>
      </c>
      <c r="E2597" s="181">
        <f>SUM(E2595:E2596)</f>
        <v>62934.89</v>
      </c>
      <c r="F2597" s="22">
        <f>SUM(F2595:F2596)</f>
        <v>60304.39</v>
      </c>
    </row>
    <row r="2598" spans="1:6" ht="22.5">
      <c r="A2598" s="150" t="s">
        <v>12</v>
      </c>
      <c r="B2598" s="150"/>
      <c r="C2598" s="5"/>
      <c r="D2598" s="5"/>
      <c r="E2598" s="5"/>
      <c r="F2598" s="5"/>
    </row>
    <row r="2599" spans="1:7" ht="12.75">
      <c r="A2599" s="156" t="s">
        <v>13</v>
      </c>
      <c r="B2599" s="166">
        <f>C2599+D2599+E2599+F2599</f>
        <v>57031.79525027999</v>
      </c>
      <c r="C2599" s="157">
        <f>7.5947*C2593</f>
        <v>13716.939563999998</v>
      </c>
      <c r="D2599" s="157">
        <f>7.632*C2593</f>
        <v>13784.307839999998</v>
      </c>
      <c r="E2599" s="12">
        <f>8.5526*E2593</f>
        <v>15447.021911999998</v>
      </c>
      <c r="F2599" s="157">
        <f>7.797669*F2593</f>
        <v>14083.525934279998</v>
      </c>
      <c r="G2599" s="8"/>
    </row>
    <row r="2600" spans="1:6" ht="21.75">
      <c r="A2600" s="156" t="s">
        <v>14</v>
      </c>
      <c r="B2600" s="167">
        <f aca="true" t="shared" si="43" ref="B2600:B2639">C2600+D2600+E2600+F2600</f>
        <v>0</v>
      </c>
      <c r="C2600" s="12"/>
      <c r="D2600" s="12"/>
      <c r="E2600" s="12"/>
      <c r="F2600" s="12"/>
    </row>
    <row r="2601" spans="1:6" ht="12.75">
      <c r="A2601" s="153" t="s">
        <v>15</v>
      </c>
      <c r="B2601" s="167">
        <f t="shared" si="43"/>
        <v>75051.18</v>
      </c>
      <c r="C2601" s="12">
        <f>C2602+C2604</f>
        <v>16383.41</v>
      </c>
      <c r="D2601" s="12">
        <f>D2602+D2604+D2605+D2606+D2607</f>
        <v>16453.23</v>
      </c>
      <c r="E2601" s="12">
        <f>E2602+E2604+E2605+E2606+E2607</f>
        <v>21046.67</v>
      </c>
      <c r="F2601" s="12">
        <f>F2602+F2604+F2606+F2605+F2607</f>
        <v>21167.87</v>
      </c>
    </row>
    <row r="2602" spans="1:6" ht="12.75">
      <c r="A2602" s="158" t="s">
        <v>16</v>
      </c>
      <c r="B2602" s="167">
        <f t="shared" si="43"/>
        <v>72092</v>
      </c>
      <c r="C2602" s="165">
        <v>16247</v>
      </c>
      <c r="D2602" s="12">
        <v>16121</v>
      </c>
      <c r="E2602" s="12">
        <v>20704</v>
      </c>
      <c r="F2602" s="12">
        <v>19020</v>
      </c>
    </row>
    <row r="2603" spans="1:6" ht="12.75">
      <c r="A2603" s="153" t="s">
        <v>33</v>
      </c>
      <c r="B2603" s="167">
        <f t="shared" si="43"/>
        <v>50952</v>
      </c>
      <c r="C2603" s="165">
        <v>10316</v>
      </c>
      <c r="D2603" s="12">
        <v>11700</v>
      </c>
      <c r="E2603" s="12">
        <v>14468</v>
      </c>
      <c r="F2603" s="12">
        <v>14468</v>
      </c>
    </row>
    <row r="2604" spans="1:6" ht="12.75">
      <c r="A2604" s="153" t="s">
        <v>24</v>
      </c>
      <c r="B2604" s="167">
        <f t="shared" si="43"/>
        <v>940.18</v>
      </c>
      <c r="C2604" s="12">
        <v>136.41</v>
      </c>
      <c r="D2604" s="12">
        <v>332.23</v>
      </c>
      <c r="E2604" s="12">
        <v>342.67</v>
      </c>
      <c r="F2604" s="12">
        <v>128.87</v>
      </c>
    </row>
    <row r="2605" spans="1:6" ht="12.75">
      <c r="A2605" s="153" t="s">
        <v>17</v>
      </c>
      <c r="B2605" s="167">
        <f t="shared" si="43"/>
        <v>0</v>
      </c>
      <c r="C2605" s="12"/>
      <c r="D2605" s="12"/>
      <c r="E2605" s="12"/>
      <c r="F2605" s="12"/>
    </row>
    <row r="2606" spans="1:6" ht="12.75">
      <c r="A2606" s="153" t="s">
        <v>40</v>
      </c>
      <c r="B2606" s="167">
        <f t="shared" si="43"/>
        <v>0</v>
      </c>
      <c r="C2606" s="12"/>
      <c r="D2606" s="12"/>
      <c r="E2606" s="12"/>
      <c r="F2606" s="12"/>
    </row>
    <row r="2607" spans="1:6" ht="12.75">
      <c r="A2607" s="153" t="s">
        <v>524</v>
      </c>
      <c r="B2607" s="167">
        <f t="shared" si="43"/>
        <v>2019</v>
      </c>
      <c r="C2607" s="12"/>
      <c r="D2607" s="12"/>
      <c r="E2607" s="12"/>
      <c r="F2607" s="12">
        <v>2019</v>
      </c>
    </row>
    <row r="2608" spans="1:6" ht="12.75">
      <c r="A2608" s="155" t="s">
        <v>11</v>
      </c>
      <c r="B2608" s="166">
        <f t="shared" si="43"/>
        <v>132082.97525028</v>
      </c>
      <c r="C2608" s="157">
        <f>C2599+C2601</f>
        <v>30100.349563999996</v>
      </c>
      <c r="D2608" s="157">
        <f>D2599+D2601</f>
        <v>30237.537839999997</v>
      </c>
      <c r="E2608" s="157">
        <f>E2599+E2601</f>
        <v>36493.691911999995</v>
      </c>
      <c r="F2608" s="157">
        <f>F2599+F2601</f>
        <v>35251.39593427999</v>
      </c>
    </row>
    <row r="2609" spans="1:6" ht="21.75">
      <c r="A2609" s="159" t="s">
        <v>18</v>
      </c>
      <c r="B2609" s="167">
        <f t="shared" si="43"/>
        <v>0</v>
      </c>
      <c r="C2609" s="12"/>
      <c r="D2609" s="12"/>
      <c r="E2609" s="12"/>
      <c r="F2609" s="12"/>
    </row>
    <row r="2610" spans="1:6" ht="12.75">
      <c r="A2610" s="153" t="s">
        <v>23</v>
      </c>
      <c r="B2610" s="167">
        <f t="shared" si="43"/>
        <v>44290.938924</v>
      </c>
      <c r="C2610" s="165">
        <f>5.3352*C2593</f>
        <v>9636.011424</v>
      </c>
      <c r="D2610" s="12">
        <f>6.1735*C2593</f>
        <v>11150.08182</v>
      </c>
      <c r="E2610" s="12">
        <f>6.4099*E2593</f>
        <v>11577.048588</v>
      </c>
      <c r="F2610" s="12">
        <f>6.6041*F2593</f>
        <v>11927.797091999999</v>
      </c>
    </row>
    <row r="2611" spans="1:6" ht="12.75">
      <c r="A2611" s="153" t="s">
        <v>63</v>
      </c>
      <c r="B2611" s="167">
        <f t="shared" si="43"/>
        <v>0</v>
      </c>
      <c r="C2611" s="12"/>
      <c r="D2611" s="12"/>
      <c r="E2611" s="12"/>
      <c r="F2611" s="12"/>
    </row>
    <row r="2612" spans="1:6" ht="12.75">
      <c r="A2612" s="153" t="s">
        <v>62</v>
      </c>
      <c r="B2612" s="167">
        <f t="shared" si="43"/>
        <v>0</v>
      </c>
      <c r="C2612" s="12"/>
      <c r="D2612" s="12"/>
      <c r="E2612" s="12"/>
      <c r="F2612" s="12"/>
    </row>
    <row r="2613" spans="1:6" ht="12.75">
      <c r="A2613" s="153" t="s">
        <v>30</v>
      </c>
      <c r="B2613" s="167">
        <f t="shared" si="43"/>
        <v>44819.1</v>
      </c>
      <c r="C2613" s="12">
        <v>26846.85</v>
      </c>
      <c r="D2613" s="12">
        <v>5199</v>
      </c>
      <c r="E2613" s="12">
        <v>9663.25</v>
      </c>
      <c r="F2613" s="12">
        <v>3110</v>
      </c>
    </row>
    <row r="2614" spans="1:6" ht="12.75">
      <c r="A2614" s="153" t="s">
        <v>28</v>
      </c>
      <c r="B2614" s="167">
        <f t="shared" si="43"/>
        <v>0</v>
      </c>
      <c r="C2614" s="12"/>
      <c r="D2614" s="12"/>
      <c r="E2614" s="12"/>
      <c r="F2614" s="12"/>
    </row>
    <row r="2615" spans="1:6" ht="12.75">
      <c r="A2615" s="153" t="s">
        <v>41</v>
      </c>
      <c r="B2615" s="167">
        <f t="shared" si="43"/>
        <v>1612</v>
      </c>
      <c r="C2615" s="12"/>
      <c r="D2615" s="12"/>
      <c r="E2615" s="12">
        <v>1612</v>
      </c>
      <c r="F2615" s="12"/>
    </row>
    <row r="2616" spans="1:6" ht="12.75">
      <c r="A2616" s="153" t="s">
        <v>50</v>
      </c>
      <c r="B2616" s="167">
        <f t="shared" si="43"/>
        <v>6056.76</v>
      </c>
      <c r="C2616" s="12">
        <v>2087.76</v>
      </c>
      <c r="D2616" s="12">
        <v>3969</v>
      </c>
      <c r="E2616" s="12"/>
      <c r="F2616" s="12"/>
    </row>
    <row r="2617" spans="1:6" ht="12.75">
      <c r="A2617" s="153" t="s">
        <v>52</v>
      </c>
      <c r="B2617" s="167">
        <f t="shared" si="43"/>
        <v>0</v>
      </c>
      <c r="C2617" s="12"/>
      <c r="D2617" s="12"/>
      <c r="E2617" s="12"/>
      <c r="F2617" s="12"/>
    </row>
    <row r="2618" spans="1:6" ht="22.5">
      <c r="A2618" s="153" t="s">
        <v>225</v>
      </c>
      <c r="B2618" s="167">
        <f t="shared" si="43"/>
        <v>258.88</v>
      </c>
      <c r="C2618" s="12">
        <v>258.88</v>
      </c>
      <c r="D2618" s="12"/>
      <c r="E2618" s="12"/>
      <c r="F2618" s="12"/>
    </row>
    <row r="2619" spans="1:6" ht="12.75">
      <c r="A2619" s="153" t="s">
        <v>27</v>
      </c>
      <c r="B2619" s="167">
        <f t="shared" si="43"/>
        <v>0</v>
      </c>
      <c r="C2619" s="12"/>
      <c r="D2619" s="12"/>
      <c r="E2619" s="12"/>
      <c r="F2619" s="12"/>
    </row>
    <row r="2620" spans="1:6" ht="12.75">
      <c r="A2620" s="153" t="s">
        <v>453</v>
      </c>
      <c r="B2620" s="167">
        <f t="shared" si="43"/>
        <v>454</v>
      </c>
      <c r="C2620" s="12"/>
      <c r="D2620" s="12"/>
      <c r="E2620" s="12"/>
      <c r="F2620" s="12">
        <v>454</v>
      </c>
    </row>
    <row r="2621" spans="1:6" ht="12.75">
      <c r="A2621" s="153" t="s">
        <v>47</v>
      </c>
      <c r="B2621" s="167">
        <f t="shared" si="43"/>
        <v>0</v>
      </c>
      <c r="C2621" s="12"/>
      <c r="D2621" s="12"/>
      <c r="E2621" s="12"/>
      <c r="F2621" s="12"/>
    </row>
    <row r="2622" spans="1:6" ht="12.75">
      <c r="A2622" s="153" t="s">
        <v>497</v>
      </c>
      <c r="B2622" s="167">
        <f t="shared" si="43"/>
        <v>0</v>
      </c>
      <c r="C2622" s="12"/>
      <c r="D2622" s="12"/>
      <c r="E2622" s="12"/>
      <c r="F2622" s="30">
        <v>0</v>
      </c>
    </row>
    <row r="2623" spans="1:6" ht="12.75">
      <c r="A2623" s="153" t="s">
        <v>48</v>
      </c>
      <c r="B2623" s="167">
        <f t="shared" si="43"/>
        <v>0</v>
      </c>
      <c r="C2623" s="12"/>
      <c r="D2623" s="12"/>
      <c r="E2623" s="12"/>
      <c r="F2623" s="12"/>
    </row>
    <row r="2624" spans="1:6" ht="12.75">
      <c r="A2624" s="153" t="s">
        <v>72</v>
      </c>
      <c r="B2624" s="167">
        <f t="shared" si="43"/>
        <v>0</v>
      </c>
      <c r="C2624" s="12"/>
      <c r="D2624" s="12"/>
      <c r="E2624" s="12"/>
      <c r="F2624" s="12"/>
    </row>
    <row r="2625" spans="1:6" ht="12.75">
      <c r="A2625" s="153" t="s">
        <v>241</v>
      </c>
      <c r="B2625" s="167">
        <f t="shared" si="43"/>
        <v>123.4</v>
      </c>
      <c r="C2625" s="12">
        <v>123.4</v>
      </c>
      <c r="D2625" s="12"/>
      <c r="E2625" s="12"/>
      <c r="F2625" s="12"/>
    </row>
    <row r="2626" spans="1:6" ht="12.75">
      <c r="A2626" s="153" t="s">
        <v>55</v>
      </c>
      <c r="B2626" s="167">
        <f t="shared" si="43"/>
        <v>0</v>
      </c>
      <c r="C2626" s="12"/>
      <c r="D2626" s="12"/>
      <c r="E2626" s="12"/>
      <c r="F2626" s="12"/>
    </row>
    <row r="2627" spans="1:6" ht="12.75">
      <c r="A2627" s="153" t="s">
        <v>57</v>
      </c>
      <c r="B2627" s="167">
        <f t="shared" si="43"/>
        <v>0</v>
      </c>
      <c r="C2627" s="12"/>
      <c r="D2627" s="12"/>
      <c r="E2627" s="12"/>
      <c r="F2627" s="12"/>
    </row>
    <row r="2628" spans="1:6" ht="12.75">
      <c r="A2628" s="153" t="s">
        <v>67</v>
      </c>
      <c r="B2628" s="167">
        <f t="shared" si="43"/>
        <v>0</v>
      </c>
      <c r="C2628" s="12"/>
      <c r="D2628" s="12"/>
      <c r="E2628" s="12"/>
      <c r="F2628" s="12"/>
    </row>
    <row r="2629" spans="1:6" ht="12.75">
      <c r="A2629" s="155" t="s">
        <v>11</v>
      </c>
      <c r="B2629" s="166">
        <f t="shared" si="43"/>
        <v>97615.078924</v>
      </c>
      <c r="C2629" s="157">
        <f>C2610+C2611+C2612+C2613+C2614+C2615+C2616+C2617+C2618+C2619+C2620+C2621+C2622+C2623+C2624+C2625+C2626+C2627+C2628</f>
        <v>38952.901424</v>
      </c>
      <c r="D2629" s="157">
        <f>SUM(D2610:D2628)</f>
        <v>20318.08182</v>
      </c>
      <c r="E2629" s="157">
        <f>SUM(E2610:E2628)</f>
        <v>22852.298587999998</v>
      </c>
      <c r="F2629" s="157">
        <f>SUM(F2610:F2628)</f>
        <v>15491.797091999999</v>
      </c>
    </row>
    <row r="2630" spans="1:6" ht="12.75">
      <c r="A2630" s="155" t="s">
        <v>19</v>
      </c>
      <c r="B2630" s="167">
        <f t="shared" si="43"/>
        <v>0</v>
      </c>
      <c r="C2630" s="12"/>
      <c r="D2630" s="12"/>
      <c r="E2630" s="12"/>
      <c r="F2630" s="12"/>
    </row>
    <row r="2631" spans="1:6" ht="12.75">
      <c r="A2631" s="153" t="s">
        <v>38</v>
      </c>
      <c r="B2631" s="167">
        <f t="shared" si="43"/>
        <v>1518.2840739600001</v>
      </c>
      <c r="C2631" s="12">
        <f>0.218666*C2593</f>
        <v>394.93703591999997</v>
      </c>
      <c r="D2631" s="12">
        <f>0.210458*C2593</f>
        <v>380.11240296</v>
      </c>
      <c r="E2631" s="12">
        <f>0.167241*E2593</f>
        <v>302.05731492</v>
      </c>
      <c r="F2631" s="12">
        <f>0.244268*F2593</f>
        <v>441.17732016</v>
      </c>
    </row>
    <row r="2632" spans="1:6" ht="12.75">
      <c r="A2632" s="153" t="s">
        <v>39</v>
      </c>
      <c r="B2632" s="167">
        <f t="shared" si="43"/>
        <v>3010.65574428</v>
      </c>
      <c r="C2632" s="12">
        <f>0.306583*C2593</f>
        <v>553.72568796</v>
      </c>
      <c r="D2632" s="12">
        <f>0.0733554*C2593</f>
        <v>132.488655048</v>
      </c>
      <c r="E2632" s="12">
        <f>0.536065*E2593</f>
        <v>968.1977178</v>
      </c>
      <c r="F2632" s="12">
        <f>0.7509156*F2593</f>
        <v>1356.243683472</v>
      </c>
    </row>
    <row r="2633" spans="1:6" ht="12.75">
      <c r="A2633" s="153" t="s">
        <v>32</v>
      </c>
      <c r="B2633" s="167">
        <f t="shared" si="43"/>
        <v>0</v>
      </c>
      <c r="C2633" s="12"/>
      <c r="D2633" s="12"/>
      <c r="E2633" s="12"/>
      <c r="F2633" s="12"/>
    </row>
    <row r="2634" spans="1:6" ht="12.75">
      <c r="A2634" s="153" t="s">
        <v>37</v>
      </c>
      <c r="B2634" s="167">
        <f t="shared" si="43"/>
        <v>3889.5783953759997</v>
      </c>
      <c r="C2634" s="12">
        <f>0.70476*C2593</f>
        <v>1272.8811312</v>
      </c>
      <c r="D2634" s="12">
        <f>0.3731258*C2593</f>
        <v>673.909969896</v>
      </c>
      <c r="E2634" s="12">
        <f>0.553205*E2593</f>
        <v>999.1546145999998</v>
      </c>
      <c r="F2634" s="12">
        <f>0.522464*F2593</f>
        <v>943.63267968</v>
      </c>
    </row>
    <row r="2635" spans="1:6" ht="12.75">
      <c r="A2635" s="153" t="s">
        <v>20</v>
      </c>
      <c r="B2635" s="167">
        <f t="shared" si="43"/>
        <v>1438.26392736</v>
      </c>
      <c r="C2635" s="12"/>
      <c r="D2635" s="12">
        <f>0.158142*C2593</f>
        <v>285.62342904</v>
      </c>
      <c r="E2635" s="12">
        <f>0.60489*E2593</f>
        <v>1092.5039268</v>
      </c>
      <c r="F2635" s="12">
        <f>0.033296*F2593</f>
        <v>60.13657152</v>
      </c>
    </row>
    <row r="2636" spans="1:6" ht="12.75">
      <c r="A2636" s="153" t="s">
        <v>73</v>
      </c>
      <c r="B2636" s="167">
        <f t="shared" si="43"/>
        <v>0</v>
      </c>
      <c r="C2636" s="12"/>
      <c r="D2636" s="12"/>
      <c r="E2636" s="12"/>
      <c r="F2636" s="12"/>
    </row>
    <row r="2637" spans="1:6" ht="12.75">
      <c r="A2637" s="156" t="s">
        <v>11</v>
      </c>
      <c r="B2637" s="166">
        <f t="shared" si="43"/>
        <v>9856.782140976</v>
      </c>
      <c r="C2637" s="157">
        <f>C2631+C2632+C2633+C2634+C2635</f>
        <v>2221.54385508</v>
      </c>
      <c r="D2637" s="157">
        <f>SUM(D2631:D2636)</f>
        <v>1472.134456944</v>
      </c>
      <c r="E2637" s="157">
        <f>SUM(E2631:E2636)</f>
        <v>3361.91357412</v>
      </c>
      <c r="F2637" s="157">
        <f>SUM(F2631:F2636)</f>
        <v>2801.190254832</v>
      </c>
    </row>
    <row r="2638" spans="1:6" ht="12.75">
      <c r="A2638" s="153" t="s">
        <v>101</v>
      </c>
      <c r="B2638" s="167">
        <f t="shared" si="43"/>
        <v>1178.4992723199998</v>
      </c>
      <c r="C2638" s="157">
        <f>0.0644*C2593</f>
        <v>116.314128</v>
      </c>
      <c r="D2638" s="12">
        <v>100</v>
      </c>
      <c r="E2638" s="12">
        <f>0.10264*E2593</f>
        <v>185.38015679999998</v>
      </c>
      <c r="F2638" s="12">
        <f>0.430096*F2593</f>
        <v>776.8049875199999</v>
      </c>
    </row>
    <row r="2639" spans="1:6" ht="33.75">
      <c r="A2639" s="161" t="s">
        <v>21</v>
      </c>
      <c r="B2639" s="166">
        <f t="shared" si="43"/>
        <v>240547.95543077597</v>
      </c>
      <c r="C2639" s="157">
        <f>C2608+C2629+C2637+C2638</f>
        <v>71391.10897108</v>
      </c>
      <c r="D2639" s="157">
        <f>D2608+D2629+D2637+D2638</f>
        <v>52127.754116943994</v>
      </c>
      <c r="E2639" s="157">
        <f>E2608+E2629+E2637</f>
        <v>62707.90407411999</v>
      </c>
      <c r="F2639" s="157">
        <f>F2608+F2629+F2637+F2638</f>
        <v>54321.188268631995</v>
      </c>
    </row>
    <row r="2640" spans="1:6" ht="45">
      <c r="A2640" s="161" t="s">
        <v>22</v>
      </c>
      <c r="B2640" s="162">
        <f>B2639/12/C2593</f>
        <v>11.098743689547021</v>
      </c>
      <c r="C2640" s="14">
        <f>C2639/C2593/3</f>
        <v>13.175778089879595</v>
      </c>
      <c r="D2640" s="14">
        <f>D2639/3/C2593</f>
        <v>9.620577834795768</v>
      </c>
      <c r="E2640" s="14">
        <f>E2639/3/C2593</f>
        <v>11.57322586061465</v>
      </c>
      <c r="F2640" s="14">
        <f>F2639/3/C2593</f>
        <v>10.025392972898072</v>
      </c>
    </row>
    <row r="2641" spans="1:6" ht="12.75">
      <c r="A2641" s="163" t="s">
        <v>34</v>
      </c>
      <c r="B2641" s="182">
        <f>B2597-B2639</f>
        <v>-15625.39543077597</v>
      </c>
      <c r="C2641" s="165">
        <f>C2597-C2639</f>
        <v>-26458.688971080002</v>
      </c>
      <c r="D2641" s="12">
        <f>D2597-D2639-26458</f>
        <v>-21834.894116943993</v>
      </c>
      <c r="E2641" s="12">
        <f>E2597-E2639-21835</f>
        <v>-21608.014074119994</v>
      </c>
      <c r="F2641" s="12">
        <f>F2597-F2639-21608</f>
        <v>-15624.798268631996</v>
      </c>
    </row>
    <row r="2642" spans="1:6" ht="12.75">
      <c r="A2642" s="29" t="s">
        <v>44</v>
      </c>
      <c r="B2642" s="29"/>
      <c r="C2642" s="29"/>
      <c r="D2642" s="29"/>
      <c r="E2642" s="29"/>
      <c r="F2642" s="29"/>
    </row>
    <row r="2643" spans="1:6" ht="12.75">
      <c r="A2643" s="29" t="s">
        <v>45</v>
      </c>
      <c r="B2643" s="29"/>
      <c r="C2643" s="29"/>
      <c r="D2643" s="29"/>
      <c r="E2643" s="29"/>
      <c r="F2643" s="29"/>
    </row>
    <row r="2644" spans="1:6" ht="12.75">
      <c r="A2644" s="29" t="s">
        <v>579</v>
      </c>
      <c r="B2644" s="29"/>
      <c r="C2644" s="29"/>
      <c r="D2644" s="29"/>
      <c r="E2644" s="29"/>
      <c r="F2644" s="29"/>
    </row>
    <row r="2645" spans="1:6" ht="321" customHeight="1">
      <c r="A2645" s="29"/>
      <c r="B2645" s="29"/>
      <c r="C2645" s="29"/>
      <c r="D2645" s="29"/>
      <c r="E2645" s="29"/>
      <c r="F2645" s="29"/>
    </row>
    <row r="2646" spans="1:6" ht="12.75">
      <c r="A2646" s="120" t="s">
        <v>35</v>
      </c>
      <c r="B2646" s="120"/>
      <c r="C2646" s="29"/>
      <c r="D2646" s="29"/>
      <c r="E2646" s="29"/>
      <c r="F2646" s="29"/>
    </row>
    <row r="2647" spans="1:6" ht="12.75">
      <c r="A2647" s="29" t="s">
        <v>616</v>
      </c>
      <c r="B2647" s="29"/>
      <c r="C2647" s="29"/>
      <c r="D2647" s="29"/>
      <c r="E2647" s="29"/>
      <c r="F2647" s="29"/>
    </row>
    <row r="2648" spans="1:6" ht="12.75">
      <c r="A2648" s="29" t="s">
        <v>224</v>
      </c>
      <c r="B2648" s="29"/>
      <c r="C2648" s="29"/>
      <c r="D2648" s="29"/>
      <c r="E2648" s="29"/>
      <c r="F2648" s="29"/>
    </row>
    <row r="2649" spans="1:6" ht="12.75">
      <c r="A2649" s="29" t="s">
        <v>84</v>
      </c>
      <c r="B2649" s="29"/>
      <c r="C2649" s="29"/>
      <c r="D2649" s="29"/>
      <c r="E2649" s="29" t="s">
        <v>340</v>
      </c>
      <c r="F2649" s="29"/>
    </row>
    <row r="2650" spans="1:6" ht="12.75">
      <c r="A2650" s="10" t="s">
        <v>1</v>
      </c>
      <c r="B2650" s="10" t="s">
        <v>11</v>
      </c>
      <c r="C2650" s="10" t="s">
        <v>86</v>
      </c>
      <c r="D2650" s="10" t="s">
        <v>87</v>
      </c>
      <c r="E2650" s="10" t="s">
        <v>120</v>
      </c>
      <c r="F2650" s="10" t="s">
        <v>141</v>
      </c>
    </row>
    <row r="2651" spans="1:6" ht="12.75">
      <c r="A2651" s="22" t="s">
        <v>6</v>
      </c>
      <c r="B2651" s="22"/>
      <c r="C2651" s="10"/>
      <c r="D2651" s="5"/>
      <c r="E2651" s="5"/>
      <c r="F2651" s="5"/>
    </row>
    <row r="2652" spans="1:6" ht="12.75">
      <c r="A2652" s="5" t="s">
        <v>2</v>
      </c>
      <c r="B2652" s="5"/>
      <c r="C2652" s="10">
        <v>1</v>
      </c>
      <c r="D2652" s="5"/>
      <c r="E2652" s="5"/>
      <c r="F2652" s="5"/>
    </row>
    <row r="2653" spans="1:6" ht="12.75">
      <c r="A2653" s="5" t="s">
        <v>3</v>
      </c>
      <c r="B2653" s="5"/>
      <c r="C2653" s="10">
        <v>1</v>
      </c>
      <c r="D2653" s="5"/>
      <c r="E2653" s="5"/>
      <c r="F2653" s="5"/>
    </row>
    <row r="2654" spans="1:6" ht="12.75">
      <c r="A2654" s="5" t="s">
        <v>4</v>
      </c>
      <c r="B2654" s="5"/>
      <c r="C2654" s="10">
        <v>17</v>
      </c>
      <c r="D2654" s="5"/>
      <c r="E2654" s="5"/>
      <c r="F2654" s="5"/>
    </row>
    <row r="2655" spans="1:6" ht="12.75">
      <c r="A2655" s="5" t="s">
        <v>5</v>
      </c>
      <c r="B2655" s="5"/>
      <c r="C2655" s="10">
        <v>690.44</v>
      </c>
      <c r="D2655" s="5"/>
      <c r="E2655" s="5"/>
      <c r="F2655" s="5"/>
    </row>
    <row r="2656" spans="1:6" ht="22.5">
      <c r="A2656" s="150" t="s">
        <v>7</v>
      </c>
      <c r="B2656" s="150"/>
      <c r="C2656" s="5" t="s">
        <v>36</v>
      </c>
      <c r="D2656" s="5"/>
      <c r="E2656" s="5"/>
      <c r="F2656" s="5"/>
    </row>
    <row r="2657" spans="1:6" ht="22.5">
      <c r="A2657" s="151" t="s">
        <v>8</v>
      </c>
      <c r="B2657" s="6">
        <f>C2657+D2657+E2657+F2657</f>
        <v>18765.61</v>
      </c>
      <c r="C2657" s="10">
        <v>14761.05</v>
      </c>
      <c r="D2657" s="10">
        <v>4004.56</v>
      </c>
      <c r="E2657" s="10"/>
      <c r="F2657" s="10"/>
    </row>
    <row r="2658" spans="1:6" ht="22.5">
      <c r="A2658" s="153" t="s">
        <v>9</v>
      </c>
      <c r="B2658" s="6">
        <f>C2658+D2658+E2658+F2658</f>
        <v>0</v>
      </c>
      <c r="C2658" s="10">
        <v>0</v>
      </c>
      <c r="D2658" s="10">
        <v>0</v>
      </c>
      <c r="E2658" s="10">
        <v>0</v>
      </c>
      <c r="F2658" s="10">
        <v>0</v>
      </c>
    </row>
    <row r="2659" spans="1:6" ht="12.75">
      <c r="A2659" s="5" t="s">
        <v>11</v>
      </c>
      <c r="B2659" s="150">
        <f>C2659+D2659+E2659+F2659</f>
        <v>18765.61</v>
      </c>
      <c r="C2659" s="22">
        <f>C2657+C2658</f>
        <v>14761.05</v>
      </c>
      <c r="D2659" s="22">
        <f>SUM(D2657:D2658)</f>
        <v>4004.56</v>
      </c>
      <c r="E2659" s="22">
        <f>SUM(E2657:E2658)</f>
        <v>0</v>
      </c>
      <c r="F2659" s="22">
        <f>SUM(F2657:F2658)</f>
        <v>0</v>
      </c>
    </row>
    <row r="2660" spans="1:6" ht="22.5">
      <c r="A2660" s="150" t="s">
        <v>12</v>
      </c>
      <c r="B2660" s="150"/>
      <c r="C2660" s="5"/>
      <c r="D2660" s="5"/>
      <c r="E2660" s="5"/>
      <c r="F2660" s="5"/>
    </row>
    <row r="2661" spans="1:7" ht="12.75">
      <c r="A2661" s="156" t="s">
        <v>13</v>
      </c>
      <c r="B2661" s="166">
        <f>C2661+D2661+E2661+F2661</f>
        <v>5243.684668</v>
      </c>
      <c r="C2661" s="157">
        <f>7.5947*C2655</f>
        <v>5243.684668</v>
      </c>
      <c r="D2661" s="157"/>
      <c r="E2661" s="157"/>
      <c r="F2661" s="157"/>
      <c r="G2661" s="8"/>
    </row>
    <row r="2662" spans="1:6" ht="21.75">
      <c r="A2662" s="156" t="s">
        <v>14</v>
      </c>
      <c r="B2662" s="167">
        <f aca="true" t="shared" si="44" ref="B2662:B2701">C2662+D2662+E2662+F2662</f>
        <v>0</v>
      </c>
      <c r="C2662" s="12"/>
      <c r="D2662" s="12"/>
      <c r="E2662" s="12"/>
      <c r="F2662" s="12"/>
    </row>
    <row r="2663" spans="1:6" ht="12.75">
      <c r="A2663" s="153" t="s">
        <v>15</v>
      </c>
      <c r="B2663" s="167">
        <f t="shared" si="44"/>
        <v>6510.51</v>
      </c>
      <c r="C2663" s="12">
        <f>C2664+C2666</f>
        <v>6510.51</v>
      </c>
      <c r="D2663" s="12"/>
      <c r="E2663" s="12"/>
      <c r="F2663" s="12"/>
    </row>
    <row r="2664" spans="1:6" ht="12.75">
      <c r="A2664" s="158" t="s">
        <v>16</v>
      </c>
      <c r="B2664" s="167">
        <f t="shared" si="44"/>
        <v>6465</v>
      </c>
      <c r="C2664" s="165">
        <v>6465</v>
      </c>
      <c r="D2664" s="12"/>
      <c r="E2664" s="12"/>
      <c r="F2664" s="12"/>
    </row>
    <row r="2665" spans="1:6" ht="12.75">
      <c r="A2665" s="153" t="s">
        <v>33</v>
      </c>
      <c r="B2665" s="167">
        <f t="shared" si="44"/>
        <v>4196.52</v>
      </c>
      <c r="C2665" s="165">
        <v>4196.52</v>
      </c>
      <c r="D2665" s="12"/>
      <c r="E2665" s="12"/>
      <c r="F2665" s="12"/>
    </row>
    <row r="2666" spans="1:6" ht="12.75">
      <c r="A2666" s="153" t="s">
        <v>24</v>
      </c>
      <c r="B2666" s="167">
        <f t="shared" si="44"/>
        <v>45.51</v>
      </c>
      <c r="C2666" s="12">
        <v>45.51</v>
      </c>
      <c r="D2666" s="12"/>
      <c r="E2666" s="12"/>
      <c r="F2666" s="12"/>
    </row>
    <row r="2667" spans="1:6" ht="12.75">
      <c r="A2667" s="153" t="s">
        <v>17</v>
      </c>
      <c r="B2667" s="167">
        <f t="shared" si="44"/>
        <v>0</v>
      </c>
      <c r="C2667" s="12"/>
      <c r="D2667" s="12"/>
      <c r="E2667" s="12"/>
      <c r="F2667" s="12"/>
    </row>
    <row r="2668" spans="1:6" ht="12.75">
      <c r="A2668" s="153" t="s">
        <v>40</v>
      </c>
      <c r="B2668" s="167">
        <f t="shared" si="44"/>
        <v>0</v>
      </c>
      <c r="C2668" s="12"/>
      <c r="D2668" s="12"/>
      <c r="E2668" s="12"/>
      <c r="F2668" s="12"/>
    </row>
    <row r="2669" spans="1:6" ht="12.75">
      <c r="A2669" s="153" t="s">
        <v>94</v>
      </c>
      <c r="B2669" s="167">
        <f t="shared" si="44"/>
        <v>0</v>
      </c>
      <c r="C2669" s="12"/>
      <c r="D2669" s="12"/>
      <c r="E2669" s="12"/>
      <c r="F2669" s="12"/>
    </row>
    <row r="2670" spans="1:6" ht="12.75">
      <c r="A2670" s="155" t="s">
        <v>11</v>
      </c>
      <c r="B2670" s="166">
        <f t="shared" si="44"/>
        <v>11754.194668</v>
      </c>
      <c r="C2670" s="157">
        <f>C2661+C2663</f>
        <v>11754.194668</v>
      </c>
      <c r="D2670" s="157">
        <f>D2661+D2663</f>
        <v>0</v>
      </c>
      <c r="E2670" s="157">
        <f>E2661+E2663</f>
        <v>0</v>
      </c>
      <c r="F2670" s="157">
        <f>F2661+F2663</f>
        <v>0</v>
      </c>
    </row>
    <row r="2671" spans="1:6" ht="21.75">
      <c r="A2671" s="159" t="s">
        <v>18</v>
      </c>
      <c r="B2671" s="167">
        <f t="shared" si="44"/>
        <v>0</v>
      </c>
      <c r="C2671" s="12"/>
      <c r="D2671" s="12"/>
      <c r="E2671" s="12"/>
      <c r="F2671" s="12"/>
    </row>
    <row r="2672" spans="1:6" ht="12.75">
      <c r="A2672" s="153" t="s">
        <v>23</v>
      </c>
      <c r="B2672" s="167">
        <f t="shared" si="44"/>
        <v>3683.6354880000004</v>
      </c>
      <c r="C2672" s="165">
        <f>5.3352*C2655</f>
        <v>3683.6354880000004</v>
      </c>
      <c r="D2672" s="12"/>
      <c r="E2672" s="12"/>
      <c r="F2672" s="12"/>
    </row>
    <row r="2673" spans="1:6" ht="12.75">
      <c r="A2673" s="153" t="s">
        <v>63</v>
      </c>
      <c r="B2673" s="167">
        <f t="shared" si="44"/>
        <v>0</v>
      </c>
      <c r="C2673" s="12"/>
      <c r="D2673" s="12"/>
      <c r="E2673" s="12"/>
      <c r="F2673" s="12"/>
    </row>
    <row r="2674" spans="1:6" ht="12.75">
      <c r="A2674" s="153" t="s">
        <v>62</v>
      </c>
      <c r="B2674" s="167">
        <f t="shared" si="44"/>
        <v>0</v>
      </c>
      <c r="C2674" s="12"/>
      <c r="D2674" s="12"/>
      <c r="E2674" s="12"/>
      <c r="F2674" s="12"/>
    </row>
    <row r="2675" spans="1:6" ht="12.75">
      <c r="A2675" s="153" t="s">
        <v>30</v>
      </c>
      <c r="B2675" s="167">
        <f t="shared" si="44"/>
        <v>0</v>
      </c>
      <c r="C2675" s="12"/>
      <c r="D2675" s="12"/>
      <c r="E2675" s="12"/>
      <c r="F2675" s="12"/>
    </row>
    <row r="2676" spans="1:6" ht="12.75">
      <c r="A2676" s="153" t="s">
        <v>28</v>
      </c>
      <c r="B2676" s="167">
        <f t="shared" si="44"/>
        <v>0</v>
      </c>
      <c r="C2676" s="12"/>
      <c r="D2676" s="12"/>
      <c r="E2676" s="12"/>
      <c r="F2676" s="12"/>
    </row>
    <row r="2677" spans="1:6" ht="12.75">
      <c r="A2677" s="153" t="s">
        <v>41</v>
      </c>
      <c r="B2677" s="167">
        <f t="shared" si="44"/>
        <v>0</v>
      </c>
      <c r="C2677" s="12"/>
      <c r="D2677" s="12"/>
      <c r="E2677" s="12"/>
      <c r="F2677" s="12"/>
    </row>
    <row r="2678" spans="1:6" ht="12.75">
      <c r="A2678" s="153" t="s">
        <v>50</v>
      </c>
      <c r="B2678" s="167">
        <f t="shared" si="44"/>
        <v>0</v>
      </c>
      <c r="C2678" s="12"/>
      <c r="D2678" s="12"/>
      <c r="E2678" s="12"/>
      <c r="F2678" s="12"/>
    </row>
    <row r="2679" spans="1:6" ht="12.75">
      <c r="A2679" s="153" t="s">
        <v>52</v>
      </c>
      <c r="B2679" s="167">
        <f t="shared" si="44"/>
        <v>0</v>
      </c>
      <c r="C2679" s="12"/>
      <c r="D2679" s="12"/>
      <c r="E2679" s="12"/>
      <c r="F2679" s="12"/>
    </row>
    <row r="2680" spans="1:6" ht="22.5">
      <c r="A2680" s="153" t="s">
        <v>225</v>
      </c>
      <c r="B2680" s="167">
        <f t="shared" si="44"/>
        <v>98.96</v>
      </c>
      <c r="C2680" s="12">
        <v>98.96</v>
      </c>
      <c r="D2680" s="12"/>
      <c r="E2680" s="12"/>
      <c r="F2680" s="12"/>
    </row>
    <row r="2681" spans="1:6" ht="12.75">
      <c r="A2681" s="153" t="s">
        <v>27</v>
      </c>
      <c r="B2681" s="167">
        <f t="shared" si="44"/>
        <v>0</v>
      </c>
      <c r="C2681" s="12"/>
      <c r="D2681" s="12"/>
      <c r="E2681" s="12"/>
      <c r="F2681" s="12"/>
    </row>
    <row r="2682" spans="1:6" ht="12.75">
      <c r="A2682" s="153" t="s">
        <v>46</v>
      </c>
      <c r="B2682" s="167">
        <f t="shared" si="44"/>
        <v>0</v>
      </c>
      <c r="C2682" s="12"/>
      <c r="D2682" s="12"/>
      <c r="E2682" s="12"/>
      <c r="F2682" s="12"/>
    </row>
    <row r="2683" spans="1:6" ht="12.75">
      <c r="A2683" s="153" t="s">
        <v>47</v>
      </c>
      <c r="B2683" s="167">
        <f t="shared" si="44"/>
        <v>0</v>
      </c>
      <c r="C2683" s="12"/>
      <c r="D2683" s="12"/>
      <c r="E2683" s="12"/>
      <c r="F2683" s="12"/>
    </row>
    <row r="2684" spans="1:6" ht="12.75">
      <c r="A2684" s="153" t="s">
        <v>82</v>
      </c>
      <c r="B2684" s="167">
        <f t="shared" si="44"/>
        <v>0</v>
      </c>
      <c r="C2684" s="12"/>
      <c r="D2684" s="12"/>
      <c r="E2684" s="12"/>
      <c r="F2684" s="12"/>
    </row>
    <row r="2685" spans="1:6" ht="12.75">
      <c r="A2685" s="153" t="s">
        <v>48</v>
      </c>
      <c r="B2685" s="167">
        <f t="shared" si="44"/>
        <v>0</v>
      </c>
      <c r="C2685" s="12"/>
      <c r="D2685" s="12"/>
      <c r="E2685" s="12"/>
      <c r="F2685" s="12"/>
    </row>
    <row r="2686" spans="1:6" ht="12.75">
      <c r="A2686" s="153" t="s">
        <v>72</v>
      </c>
      <c r="B2686" s="167">
        <f t="shared" si="44"/>
        <v>0</v>
      </c>
      <c r="C2686" s="12"/>
      <c r="D2686" s="12"/>
      <c r="E2686" s="12"/>
      <c r="F2686" s="12"/>
    </row>
    <row r="2687" spans="1:6" ht="12.75">
      <c r="A2687" s="153" t="s">
        <v>79</v>
      </c>
      <c r="B2687" s="167">
        <f t="shared" si="44"/>
        <v>0</v>
      </c>
      <c r="C2687" s="12"/>
      <c r="D2687" s="12"/>
      <c r="E2687" s="12"/>
      <c r="F2687" s="12"/>
    </row>
    <row r="2688" spans="1:6" ht="12.75">
      <c r="A2688" s="153" t="s">
        <v>55</v>
      </c>
      <c r="B2688" s="167">
        <f t="shared" si="44"/>
        <v>0</v>
      </c>
      <c r="C2688" s="12"/>
      <c r="D2688" s="12"/>
      <c r="E2688" s="12"/>
      <c r="F2688" s="12"/>
    </row>
    <row r="2689" spans="1:6" ht="12.75">
      <c r="A2689" s="153" t="s">
        <v>57</v>
      </c>
      <c r="B2689" s="167">
        <f t="shared" si="44"/>
        <v>0</v>
      </c>
      <c r="C2689" s="12"/>
      <c r="D2689" s="12"/>
      <c r="E2689" s="12"/>
      <c r="F2689" s="12"/>
    </row>
    <row r="2690" spans="1:6" ht="12.75">
      <c r="A2690" s="153" t="s">
        <v>67</v>
      </c>
      <c r="B2690" s="167">
        <f t="shared" si="44"/>
        <v>0</v>
      </c>
      <c r="C2690" s="12"/>
      <c r="D2690" s="12"/>
      <c r="E2690" s="12"/>
      <c r="F2690" s="12"/>
    </row>
    <row r="2691" spans="1:7" ht="12.75">
      <c r="A2691" s="155" t="s">
        <v>11</v>
      </c>
      <c r="B2691" s="166">
        <f t="shared" si="44"/>
        <v>3782.5954880000004</v>
      </c>
      <c r="C2691" s="157">
        <f>C2672+C2673+C2674+C2675+C2676+C2677+C2678+C2679+C2680+C2681+C2682+C2683+C2684+C2685+C2686+C2687+C2688+C2689+C2690</f>
        <v>3782.5954880000004</v>
      </c>
      <c r="D2691" s="157">
        <f>SUM(D2672:D2690)</f>
        <v>0</v>
      </c>
      <c r="E2691" s="157">
        <f>SUM(E2672:E2690)</f>
        <v>0</v>
      </c>
      <c r="F2691" s="157">
        <f>SUM(F2672:F2690)</f>
        <v>0</v>
      </c>
      <c r="G2691" s="9"/>
    </row>
    <row r="2692" spans="1:6" ht="12.75">
      <c r="A2692" s="155" t="s">
        <v>19</v>
      </c>
      <c r="B2692" s="167">
        <f t="shared" si="44"/>
        <v>0</v>
      </c>
      <c r="C2692" s="12"/>
      <c r="D2692" s="12"/>
      <c r="E2692" s="12"/>
      <c r="F2692" s="12"/>
    </row>
    <row r="2693" spans="1:6" ht="12.75">
      <c r="A2693" s="153" t="s">
        <v>38</v>
      </c>
      <c r="B2693" s="167">
        <f t="shared" si="44"/>
        <v>150.97575304</v>
      </c>
      <c r="C2693" s="12">
        <f>0.218666*C2655</f>
        <v>150.97575304</v>
      </c>
      <c r="D2693" s="12"/>
      <c r="E2693" s="12"/>
      <c r="F2693" s="12"/>
    </row>
    <row r="2694" spans="1:6" ht="12.75">
      <c r="A2694" s="153" t="s">
        <v>39</v>
      </c>
      <c r="B2694" s="167">
        <f t="shared" si="44"/>
        <v>211.67716652000001</v>
      </c>
      <c r="C2694" s="12">
        <f>0.306583*C2655</f>
        <v>211.67716652000001</v>
      </c>
      <c r="D2694" s="12"/>
      <c r="E2694" s="12"/>
      <c r="F2694" s="12"/>
    </row>
    <row r="2695" spans="1:6" ht="12.75">
      <c r="A2695" s="153" t="s">
        <v>32</v>
      </c>
      <c r="B2695" s="167">
        <f t="shared" si="44"/>
        <v>0</v>
      </c>
      <c r="C2695" s="12"/>
      <c r="D2695" s="12"/>
      <c r="E2695" s="12"/>
      <c r="F2695" s="12"/>
    </row>
    <row r="2696" spans="1:6" ht="12.75">
      <c r="A2696" s="153" t="s">
        <v>37</v>
      </c>
      <c r="B2696" s="167">
        <f t="shared" si="44"/>
        <v>486.5944944000001</v>
      </c>
      <c r="C2696" s="12">
        <f>0.70476*C2655</f>
        <v>486.5944944000001</v>
      </c>
      <c r="D2696" s="12"/>
      <c r="E2696" s="12"/>
      <c r="F2696" s="12"/>
    </row>
    <row r="2697" spans="1:6" ht="12.75">
      <c r="A2697" s="153" t="s">
        <v>20</v>
      </c>
      <c r="B2697" s="167">
        <f t="shared" si="44"/>
        <v>0</v>
      </c>
      <c r="C2697" s="12"/>
      <c r="D2697" s="12"/>
      <c r="E2697" s="12"/>
      <c r="F2697" s="12"/>
    </row>
    <row r="2698" spans="1:6" ht="12.75">
      <c r="A2698" s="153" t="s">
        <v>73</v>
      </c>
      <c r="B2698" s="167">
        <f t="shared" si="44"/>
        <v>0</v>
      </c>
      <c r="C2698" s="12"/>
      <c r="D2698" s="12"/>
      <c r="E2698" s="12"/>
      <c r="F2698" s="12"/>
    </row>
    <row r="2699" spans="1:6" ht="12.75">
      <c r="A2699" s="156" t="s">
        <v>11</v>
      </c>
      <c r="B2699" s="166">
        <f t="shared" si="44"/>
        <v>849.2474139600001</v>
      </c>
      <c r="C2699" s="157">
        <f>C2693+C2694+C2695+C2696+C2697</f>
        <v>849.2474139600001</v>
      </c>
      <c r="D2699" s="157">
        <f>SUM(D2693:D2698)</f>
        <v>0</v>
      </c>
      <c r="E2699" s="157">
        <f>SUM(E2693:E2698)</f>
        <v>0</v>
      </c>
      <c r="F2699" s="157">
        <f>SUM(F2693:F2698)</f>
        <v>0</v>
      </c>
    </row>
    <row r="2700" spans="1:6" ht="12.75">
      <c r="A2700" s="153" t="s">
        <v>101</v>
      </c>
      <c r="B2700" s="167">
        <f t="shared" si="44"/>
        <v>44.464336</v>
      </c>
      <c r="C2700" s="157">
        <f>0.0644*C2655</f>
        <v>44.464336</v>
      </c>
      <c r="D2700" s="12"/>
      <c r="E2700" s="12"/>
      <c r="F2700" s="12"/>
    </row>
    <row r="2701" spans="1:6" ht="33.75">
      <c r="A2701" s="161" t="s">
        <v>21</v>
      </c>
      <c r="B2701" s="166">
        <f t="shared" si="44"/>
        <v>16430.50190596</v>
      </c>
      <c r="C2701" s="157">
        <f>C2670+C2691+C2699+C2700</f>
        <v>16430.50190596</v>
      </c>
      <c r="D2701" s="157">
        <f>D2670+D2691+D2699+D2700</f>
        <v>0</v>
      </c>
      <c r="E2701" s="157">
        <f>E2670+E2691+E2699</f>
        <v>0</v>
      </c>
      <c r="F2701" s="157">
        <f>F2670+F2691+F2699+F2700</f>
        <v>0</v>
      </c>
    </row>
    <row r="2702" spans="1:6" ht="45">
      <c r="A2702" s="161" t="s">
        <v>22</v>
      </c>
      <c r="B2702" s="168">
        <f>B2701/12/C2655</f>
        <v>1.983095550899909</v>
      </c>
      <c r="C2702" s="14">
        <f>C2701/C2655/3</f>
        <v>7.932382203599637</v>
      </c>
      <c r="D2702" s="13">
        <f>D2701/3/C2655</f>
        <v>0</v>
      </c>
      <c r="E2702" s="13">
        <f>E2701/3/C2655</f>
        <v>0</v>
      </c>
      <c r="F2702" s="13">
        <f>F2701/3/C2655</f>
        <v>0</v>
      </c>
    </row>
    <row r="2703" spans="1:6" ht="12.75">
      <c r="A2703" s="163" t="s">
        <v>34</v>
      </c>
      <c r="B2703" s="154">
        <f>B2659-B2701</f>
        <v>2335.108094039999</v>
      </c>
      <c r="C2703" s="165">
        <f>C2659-C2701</f>
        <v>-1669.4519059600025</v>
      </c>
      <c r="D2703" s="12">
        <f>D2659-1669</f>
        <v>2335.56</v>
      </c>
      <c r="E2703" s="12"/>
      <c r="F2703" s="12"/>
    </row>
    <row r="2704" spans="1:6" ht="12.75">
      <c r="A2704" s="29" t="s">
        <v>44</v>
      </c>
      <c r="B2704" s="29"/>
      <c r="C2704" s="29"/>
      <c r="D2704" s="29"/>
      <c r="E2704" s="29"/>
      <c r="F2704" s="29"/>
    </row>
    <row r="2705" spans="1:6" ht="12.75">
      <c r="A2705" s="29" t="s">
        <v>45</v>
      </c>
      <c r="B2705" s="29"/>
      <c r="C2705" s="29"/>
      <c r="D2705" s="29"/>
      <c r="E2705" s="29"/>
      <c r="F2705" s="29"/>
    </row>
    <row r="2706" spans="1:6" ht="12.75">
      <c r="A2706" s="29" t="s">
        <v>579</v>
      </c>
      <c r="B2706" s="29"/>
      <c r="C2706" s="29"/>
      <c r="D2706" s="29"/>
      <c r="E2706" s="29"/>
      <c r="F2706" s="29"/>
    </row>
    <row r="2707" spans="1:6" ht="319.5" customHeight="1">
      <c r="A2707" s="29"/>
      <c r="B2707" s="29"/>
      <c r="C2707" s="29"/>
      <c r="D2707" s="29"/>
      <c r="E2707" s="29"/>
      <c r="F2707" s="29"/>
    </row>
    <row r="2708" spans="1:6" ht="12.75">
      <c r="A2708" s="120" t="s">
        <v>35</v>
      </c>
      <c r="B2708" s="120"/>
      <c r="C2708" s="29"/>
      <c r="D2708" s="29"/>
      <c r="E2708" s="29"/>
      <c r="F2708" s="29"/>
    </row>
    <row r="2709" spans="1:6" ht="12.75">
      <c r="A2709" s="29" t="s">
        <v>616</v>
      </c>
      <c r="B2709" s="29"/>
      <c r="C2709" s="29"/>
      <c r="D2709" s="29"/>
      <c r="E2709" s="29"/>
      <c r="F2709" s="29"/>
    </row>
    <row r="2710" spans="1:6" ht="12.75">
      <c r="A2710" s="29" t="s">
        <v>224</v>
      </c>
      <c r="B2710" s="29"/>
      <c r="C2710" s="29"/>
      <c r="D2710" s="29"/>
      <c r="E2710" s="29"/>
      <c r="F2710" s="29"/>
    </row>
    <row r="2711" spans="1:6" ht="12.75">
      <c r="A2711" s="29" t="s">
        <v>85</v>
      </c>
      <c r="B2711" s="29"/>
      <c r="C2711" s="29"/>
      <c r="D2711" s="29"/>
      <c r="E2711" s="29" t="s">
        <v>340</v>
      </c>
      <c r="F2711" s="29"/>
    </row>
    <row r="2712" spans="1:6" ht="12.75">
      <c r="A2712" s="10" t="s">
        <v>1</v>
      </c>
      <c r="B2712" s="10" t="s">
        <v>11</v>
      </c>
      <c r="C2712" s="10" t="s">
        <v>86</v>
      </c>
      <c r="D2712" s="10" t="s">
        <v>87</v>
      </c>
      <c r="E2712" s="10" t="s">
        <v>120</v>
      </c>
      <c r="F2712" s="10" t="s">
        <v>141</v>
      </c>
    </row>
    <row r="2713" spans="1:6" ht="12.75">
      <c r="A2713" s="22" t="s">
        <v>6</v>
      </c>
      <c r="B2713" s="22"/>
      <c r="C2713" s="10"/>
      <c r="D2713" s="5"/>
      <c r="E2713" s="5"/>
      <c r="F2713" s="5"/>
    </row>
    <row r="2714" spans="1:6" ht="12.75">
      <c r="A2714" s="5" t="s">
        <v>2</v>
      </c>
      <c r="B2714" s="5"/>
      <c r="C2714" s="10">
        <v>2</v>
      </c>
      <c r="D2714" s="5"/>
      <c r="E2714" s="5"/>
      <c r="F2714" s="5"/>
    </row>
    <row r="2715" spans="1:6" ht="12.75">
      <c r="A2715" s="5" t="s">
        <v>3</v>
      </c>
      <c r="B2715" s="5"/>
      <c r="C2715" s="10">
        <v>2</v>
      </c>
      <c r="D2715" s="5"/>
      <c r="E2715" s="5"/>
      <c r="F2715" s="5"/>
    </row>
    <row r="2716" spans="1:6" ht="12.75">
      <c r="A2716" s="5" t="s">
        <v>4</v>
      </c>
      <c r="B2716" s="5"/>
      <c r="C2716" s="10">
        <v>17</v>
      </c>
      <c r="D2716" s="5"/>
      <c r="E2716" s="5"/>
      <c r="F2716" s="5"/>
    </row>
    <row r="2717" spans="1:6" ht="12.75">
      <c r="A2717" s="5" t="s">
        <v>5</v>
      </c>
      <c r="B2717" s="5"/>
      <c r="C2717" s="10">
        <v>654.84</v>
      </c>
      <c r="D2717" s="5"/>
      <c r="E2717" s="5"/>
      <c r="F2717" s="5"/>
    </row>
    <row r="2718" spans="1:6" ht="22.5">
      <c r="A2718" s="150" t="s">
        <v>7</v>
      </c>
      <c r="B2718" s="150"/>
      <c r="C2718" s="5"/>
      <c r="D2718" s="5"/>
      <c r="E2718" s="5"/>
      <c r="F2718" s="5"/>
    </row>
    <row r="2719" spans="1:6" ht="22.5">
      <c r="A2719" s="151" t="s">
        <v>8</v>
      </c>
      <c r="B2719" s="6">
        <f>C2719+D2719+E2719+F2719</f>
        <v>88404.98</v>
      </c>
      <c r="C2719" s="10">
        <v>24528.82</v>
      </c>
      <c r="D2719" s="10">
        <v>30828.53</v>
      </c>
      <c r="E2719" s="10">
        <v>20515.52</v>
      </c>
      <c r="F2719" s="10">
        <v>12532.11</v>
      </c>
    </row>
    <row r="2720" spans="1:6" ht="22.5">
      <c r="A2720" s="153" t="s">
        <v>9</v>
      </c>
      <c r="B2720" s="6">
        <f>C2720+D2720+E2720+F2720</f>
        <v>0</v>
      </c>
      <c r="C2720" s="10"/>
      <c r="D2720" s="10">
        <v>0</v>
      </c>
      <c r="E2720" s="10">
        <v>0</v>
      </c>
      <c r="F2720" s="10">
        <v>0</v>
      </c>
    </row>
    <row r="2721" spans="1:6" ht="12.75">
      <c r="A2721" s="5" t="s">
        <v>11</v>
      </c>
      <c r="B2721" s="150">
        <f>C2721+D2721+E2721+F2721</f>
        <v>88404.98</v>
      </c>
      <c r="C2721" s="22">
        <f>C2719+C2720</f>
        <v>24528.82</v>
      </c>
      <c r="D2721" s="22">
        <f>SUM(D2719:D2720)</f>
        <v>30828.53</v>
      </c>
      <c r="E2721" s="22">
        <f>SUM(E2719:E2720)</f>
        <v>20515.52</v>
      </c>
      <c r="F2721" s="22">
        <f>SUM(F2719:F2720)</f>
        <v>12532.11</v>
      </c>
    </row>
    <row r="2722" spans="1:6" ht="22.5">
      <c r="A2722" s="150" t="s">
        <v>12</v>
      </c>
      <c r="B2722" s="150"/>
      <c r="C2722" s="5"/>
      <c r="D2722" s="5"/>
      <c r="E2722" s="5"/>
      <c r="F2722" s="5"/>
    </row>
    <row r="2723" spans="1:7" ht="12.75">
      <c r="A2723" s="156" t="s">
        <v>13</v>
      </c>
      <c r="B2723" s="166">
        <f>C2723+D2723+E2723+F2723</f>
        <v>20677.862379960003</v>
      </c>
      <c r="C2723" s="157">
        <f>7.5947*C2717</f>
        <v>4973.313348</v>
      </c>
      <c r="D2723" s="157">
        <f>7.632*C2717</f>
        <v>4997.73888</v>
      </c>
      <c r="E2723" s="12">
        <f>8.5526*C2717</f>
        <v>5600.584584</v>
      </c>
      <c r="F2723" s="157">
        <f>7.797669*C2717</f>
        <v>5106.22556796</v>
      </c>
      <c r="G2723" s="8"/>
    </row>
    <row r="2724" spans="1:6" ht="21.75">
      <c r="A2724" s="156" t="s">
        <v>14</v>
      </c>
      <c r="B2724" s="167">
        <f aca="true" t="shared" si="45" ref="B2724:B2763">C2724+D2724+E2724+F2724</f>
        <v>0</v>
      </c>
      <c r="C2724" s="12"/>
      <c r="D2724" s="12"/>
      <c r="E2724" s="12"/>
      <c r="F2724" s="12"/>
    </row>
    <row r="2725" spans="1:6" ht="12.75">
      <c r="A2725" s="153" t="s">
        <v>15</v>
      </c>
      <c r="B2725" s="167">
        <f t="shared" si="45"/>
        <v>24538.2</v>
      </c>
      <c r="C2725" s="12">
        <f>C2726+C2728</f>
        <v>7276.18</v>
      </c>
      <c r="D2725" s="12">
        <f>D2726+D2728+D2729+D2730+D2731</f>
        <v>7141.15</v>
      </c>
      <c r="E2725" s="12">
        <f>E2726</f>
        <v>8342</v>
      </c>
      <c r="F2725" s="12">
        <f>F2726+F2728+F2729+F2730+F2731</f>
        <v>1778.87</v>
      </c>
    </row>
    <row r="2726" spans="1:6" ht="12.75">
      <c r="A2726" s="158" t="s">
        <v>16</v>
      </c>
      <c r="B2726" s="167">
        <f t="shared" si="45"/>
        <v>24223</v>
      </c>
      <c r="C2726" s="165">
        <v>7221</v>
      </c>
      <c r="D2726" s="12">
        <v>7010</v>
      </c>
      <c r="E2726" s="12">
        <v>8342</v>
      </c>
      <c r="F2726" s="12">
        <v>1650</v>
      </c>
    </row>
    <row r="2727" spans="1:6" ht="12.75">
      <c r="A2727" s="153" t="s">
        <v>33</v>
      </c>
      <c r="B2727" s="167">
        <f t="shared" si="45"/>
        <v>16559</v>
      </c>
      <c r="C2727" s="165">
        <v>5071</v>
      </c>
      <c r="D2727" s="12">
        <v>5407</v>
      </c>
      <c r="E2727" s="12">
        <v>6081</v>
      </c>
      <c r="F2727" s="12">
        <v>0</v>
      </c>
    </row>
    <row r="2728" spans="1:6" ht="12.75">
      <c r="A2728" s="153" t="s">
        <v>24</v>
      </c>
      <c r="B2728" s="167">
        <f t="shared" si="45"/>
        <v>315.20000000000005</v>
      </c>
      <c r="C2728" s="12">
        <v>55.18</v>
      </c>
      <c r="D2728" s="12">
        <v>131.15</v>
      </c>
      <c r="E2728" s="12"/>
      <c r="F2728" s="12">
        <v>128.87</v>
      </c>
    </row>
    <row r="2729" spans="1:6" ht="12.75">
      <c r="A2729" s="153" t="s">
        <v>17</v>
      </c>
      <c r="B2729" s="167">
        <f t="shared" si="45"/>
        <v>0</v>
      </c>
      <c r="C2729" s="12"/>
      <c r="D2729" s="12"/>
      <c r="E2729" s="12"/>
      <c r="F2729" s="12"/>
    </row>
    <row r="2730" spans="1:6" ht="12.75">
      <c r="A2730" s="153" t="s">
        <v>40</v>
      </c>
      <c r="B2730" s="167">
        <f t="shared" si="45"/>
        <v>0</v>
      </c>
      <c r="C2730" s="12"/>
      <c r="D2730" s="12"/>
      <c r="E2730" s="12"/>
      <c r="F2730" s="12"/>
    </row>
    <row r="2731" spans="1:6" ht="12.75">
      <c r="A2731" s="153" t="s">
        <v>94</v>
      </c>
      <c r="B2731" s="167">
        <f t="shared" si="45"/>
        <v>0</v>
      </c>
      <c r="C2731" s="12"/>
      <c r="D2731" s="12"/>
      <c r="E2731" s="12"/>
      <c r="F2731" s="12"/>
    </row>
    <row r="2732" spans="1:6" ht="12.75">
      <c r="A2732" s="155" t="s">
        <v>11</v>
      </c>
      <c r="B2732" s="166">
        <f t="shared" si="45"/>
        <v>45216.06237996</v>
      </c>
      <c r="C2732" s="157">
        <f>C2723+C2725</f>
        <v>12249.493348</v>
      </c>
      <c r="D2732" s="157">
        <f>D2723+D2725</f>
        <v>12138.888879999999</v>
      </c>
      <c r="E2732" s="157">
        <f>E2723+E2725</f>
        <v>13942.584584</v>
      </c>
      <c r="F2732" s="157">
        <f>F2723+F2725</f>
        <v>6885.09556796</v>
      </c>
    </row>
    <row r="2733" spans="1:6" ht="21.75">
      <c r="A2733" s="159" t="s">
        <v>18</v>
      </c>
      <c r="B2733" s="167">
        <f t="shared" si="45"/>
        <v>0</v>
      </c>
      <c r="C2733" s="12"/>
      <c r="D2733" s="12"/>
      <c r="E2733" s="12"/>
      <c r="F2733" s="12"/>
    </row>
    <row r="2734" spans="1:6" ht="12.75">
      <c r="A2734" s="153" t="s">
        <v>23</v>
      </c>
      <c r="B2734" s="167">
        <f t="shared" si="45"/>
        <v>16058.444867999999</v>
      </c>
      <c r="C2734" s="165">
        <f>5.3352*C2717</f>
        <v>3493.702368</v>
      </c>
      <c r="D2734" s="12">
        <f>6.1735*C2717</f>
        <v>4042.65474</v>
      </c>
      <c r="E2734" s="12">
        <f>6.4099*C2717</f>
        <v>4197.4589160000005</v>
      </c>
      <c r="F2734" s="12">
        <f>6.6041*C2717</f>
        <v>4324.628844</v>
      </c>
    </row>
    <row r="2735" spans="1:6" ht="12.75">
      <c r="A2735" s="153" t="s">
        <v>444</v>
      </c>
      <c r="B2735" s="167">
        <f t="shared" si="45"/>
        <v>3288.5</v>
      </c>
      <c r="C2735" s="12"/>
      <c r="D2735" s="12"/>
      <c r="E2735" s="12">
        <v>3288.5</v>
      </c>
      <c r="F2735" s="12"/>
    </row>
    <row r="2736" spans="1:6" ht="12.75">
      <c r="A2736" s="153" t="s">
        <v>114</v>
      </c>
      <c r="B2736" s="167">
        <f t="shared" si="45"/>
        <v>0</v>
      </c>
      <c r="C2736" s="12"/>
      <c r="D2736" s="12"/>
      <c r="E2736" s="12"/>
      <c r="F2736" s="12"/>
    </row>
    <row r="2737" spans="1:6" ht="12.75">
      <c r="A2737" s="153" t="s">
        <v>30</v>
      </c>
      <c r="B2737" s="167">
        <f t="shared" si="45"/>
        <v>0</v>
      </c>
      <c r="C2737" s="12"/>
      <c r="D2737" s="12"/>
      <c r="E2737" s="12"/>
      <c r="F2737" s="12"/>
    </row>
    <row r="2738" spans="1:6" ht="12.75">
      <c r="A2738" s="153" t="s">
        <v>28</v>
      </c>
      <c r="B2738" s="167">
        <f t="shared" si="45"/>
        <v>0</v>
      </c>
      <c r="C2738" s="12"/>
      <c r="D2738" s="12"/>
      <c r="E2738" s="12"/>
      <c r="F2738" s="12"/>
    </row>
    <row r="2739" spans="1:6" ht="12.75">
      <c r="A2739" s="153" t="s">
        <v>41</v>
      </c>
      <c r="B2739" s="167">
        <f t="shared" si="45"/>
        <v>0</v>
      </c>
      <c r="C2739" s="12"/>
      <c r="D2739" s="12"/>
      <c r="E2739" s="12"/>
      <c r="F2739" s="12"/>
    </row>
    <row r="2740" spans="1:6" ht="12.75">
      <c r="A2740" s="153" t="s">
        <v>50</v>
      </c>
      <c r="B2740" s="167">
        <f t="shared" si="45"/>
        <v>0</v>
      </c>
      <c r="C2740" s="12"/>
      <c r="D2740" s="12"/>
      <c r="E2740" s="12"/>
      <c r="F2740" s="12"/>
    </row>
    <row r="2741" spans="1:6" ht="12.75">
      <c r="A2741" s="153" t="s">
        <v>52</v>
      </c>
      <c r="B2741" s="167">
        <f t="shared" si="45"/>
        <v>0</v>
      </c>
      <c r="C2741" s="12"/>
      <c r="D2741" s="12"/>
      <c r="E2741" s="12"/>
      <c r="F2741" s="12"/>
    </row>
    <row r="2742" spans="1:6" ht="22.5">
      <c r="A2742" s="153" t="s">
        <v>225</v>
      </c>
      <c r="B2742" s="167">
        <f t="shared" si="45"/>
        <v>93.18</v>
      </c>
      <c r="C2742" s="12">
        <v>93.18</v>
      </c>
      <c r="D2742" s="12"/>
      <c r="E2742" s="12"/>
      <c r="F2742" s="12"/>
    </row>
    <row r="2743" spans="1:6" ht="12.75">
      <c r="A2743" s="153" t="s">
        <v>27</v>
      </c>
      <c r="B2743" s="167">
        <f t="shared" si="45"/>
        <v>0</v>
      </c>
      <c r="C2743" s="12"/>
      <c r="D2743" s="12"/>
      <c r="E2743" s="12"/>
      <c r="F2743" s="12"/>
    </row>
    <row r="2744" spans="1:6" ht="12.75">
      <c r="A2744" s="153" t="s">
        <v>46</v>
      </c>
      <c r="B2744" s="167">
        <f t="shared" si="45"/>
        <v>0</v>
      </c>
      <c r="C2744" s="12"/>
      <c r="D2744" s="12"/>
      <c r="E2744" s="12"/>
      <c r="F2744" s="12"/>
    </row>
    <row r="2745" spans="1:6" ht="12.75">
      <c r="A2745" s="153" t="s">
        <v>47</v>
      </c>
      <c r="B2745" s="167">
        <f t="shared" si="45"/>
        <v>0</v>
      </c>
      <c r="C2745" s="12"/>
      <c r="D2745" s="12"/>
      <c r="E2745" s="12"/>
      <c r="F2745" s="12"/>
    </row>
    <row r="2746" spans="1:6" ht="12.75">
      <c r="A2746" s="153" t="s">
        <v>82</v>
      </c>
      <c r="B2746" s="167">
        <f t="shared" si="45"/>
        <v>0</v>
      </c>
      <c r="C2746" s="12"/>
      <c r="D2746" s="12"/>
      <c r="E2746" s="12"/>
      <c r="F2746" s="12"/>
    </row>
    <row r="2747" spans="1:6" ht="12.75">
      <c r="A2747" s="153" t="s">
        <v>48</v>
      </c>
      <c r="B2747" s="167">
        <f t="shared" si="45"/>
        <v>0</v>
      </c>
      <c r="C2747" s="12"/>
      <c r="D2747" s="12"/>
      <c r="E2747" s="12"/>
      <c r="F2747" s="12"/>
    </row>
    <row r="2748" spans="1:6" ht="12.75">
      <c r="A2748" s="153" t="s">
        <v>72</v>
      </c>
      <c r="B2748" s="167">
        <f t="shared" si="45"/>
        <v>0</v>
      </c>
      <c r="C2748" s="12"/>
      <c r="D2748" s="12"/>
      <c r="E2748" s="12"/>
      <c r="F2748" s="12"/>
    </row>
    <row r="2749" spans="1:6" ht="12.75">
      <c r="A2749" s="153" t="s">
        <v>79</v>
      </c>
      <c r="B2749" s="167">
        <f t="shared" si="45"/>
        <v>0</v>
      </c>
      <c r="C2749" s="12"/>
      <c r="D2749" s="12"/>
      <c r="E2749" s="12"/>
      <c r="F2749" s="12"/>
    </row>
    <row r="2750" spans="1:6" ht="12.75">
      <c r="A2750" s="153" t="s">
        <v>55</v>
      </c>
      <c r="B2750" s="167">
        <f t="shared" si="45"/>
        <v>0</v>
      </c>
      <c r="C2750" s="12"/>
      <c r="D2750" s="12"/>
      <c r="E2750" s="12"/>
      <c r="F2750" s="12"/>
    </row>
    <row r="2751" spans="1:6" ht="12.75">
      <c r="A2751" s="153" t="s">
        <v>443</v>
      </c>
      <c r="B2751" s="167">
        <f t="shared" si="45"/>
        <v>0</v>
      </c>
      <c r="C2751" s="12"/>
      <c r="D2751" s="12"/>
      <c r="E2751" s="12"/>
      <c r="F2751" s="12"/>
    </row>
    <row r="2752" spans="1:6" ht="12.75">
      <c r="A2752" s="153" t="s">
        <v>67</v>
      </c>
      <c r="B2752" s="167">
        <f t="shared" si="45"/>
        <v>0</v>
      </c>
      <c r="C2752" s="12"/>
      <c r="D2752" s="12"/>
      <c r="E2752" s="12"/>
      <c r="F2752" s="12"/>
    </row>
    <row r="2753" spans="1:6" ht="12.75">
      <c r="A2753" s="155" t="s">
        <v>11</v>
      </c>
      <c r="B2753" s="167">
        <f t="shared" si="45"/>
        <v>19440.124868</v>
      </c>
      <c r="C2753" s="157">
        <f>C2734+C2735+C2736+C2737+C2738+C2739+C2740+C2741+C2742+C2743+C2744+C2745+C2746+C2747+C2748+C2749+C2750+C2751+C2752</f>
        <v>3586.882368</v>
      </c>
      <c r="D2753" s="157">
        <f>SUM(D2734:D2752)</f>
        <v>4042.65474</v>
      </c>
      <c r="E2753" s="12">
        <f>SUM(E2734:E2752)</f>
        <v>7485.9589160000005</v>
      </c>
      <c r="F2753" s="12">
        <f>SUM(F2734:F2752)</f>
        <v>4324.628844</v>
      </c>
    </row>
    <row r="2754" spans="1:6" ht="12.75">
      <c r="A2754" s="155" t="s">
        <v>19</v>
      </c>
      <c r="B2754" s="167">
        <f t="shared" si="45"/>
        <v>0</v>
      </c>
      <c r="C2754" s="12"/>
      <c r="D2754" s="12"/>
      <c r="E2754" s="12"/>
      <c r="F2754" s="12"/>
    </row>
    <row r="2755" spans="1:6" ht="12.75">
      <c r="A2755" s="153" t="s">
        <v>38</v>
      </c>
      <c r="B2755" s="167">
        <f t="shared" si="45"/>
        <v>550.4801137200001</v>
      </c>
      <c r="C2755" s="12">
        <f>0.218666*C2717</f>
        <v>143.19124344</v>
      </c>
      <c r="D2755" s="12">
        <f>0.210458*C2717</f>
        <v>137.81631672</v>
      </c>
      <c r="E2755" s="12">
        <f>0.167241*C2717</f>
        <v>109.51609644000001</v>
      </c>
      <c r="F2755" s="12">
        <f>0.244268*C2717</f>
        <v>159.95645712</v>
      </c>
    </row>
    <row r="2756" spans="1:6" ht="12.75">
      <c r="A2756" s="153" t="s">
        <v>39</v>
      </c>
      <c r="B2756" s="167">
        <f t="shared" si="45"/>
        <v>1091.56523796</v>
      </c>
      <c r="C2756" s="12">
        <f>0.306583*C2717</f>
        <v>200.76281172</v>
      </c>
      <c r="D2756" s="12">
        <f>0.0733554*C2717</f>
        <v>48.036050136</v>
      </c>
      <c r="E2756" s="12">
        <f>0.536065*C2717</f>
        <v>351.03680460000004</v>
      </c>
      <c r="F2756" s="12">
        <f>0.7509156*C2717</f>
        <v>491.72957150400003</v>
      </c>
    </row>
    <row r="2757" spans="1:6" ht="12.75">
      <c r="A2757" s="153" t="s">
        <v>32</v>
      </c>
      <c r="B2757" s="167">
        <f t="shared" si="45"/>
        <v>0</v>
      </c>
      <c r="C2757" s="12"/>
      <c r="D2757" s="12"/>
      <c r="E2757" s="12"/>
      <c r="F2757" s="12"/>
    </row>
    <row r="2758" spans="1:6" ht="12.75">
      <c r="A2758" s="153" t="s">
        <v>37</v>
      </c>
      <c r="B2758" s="167">
        <f t="shared" si="45"/>
        <v>1410.233825232</v>
      </c>
      <c r="C2758" s="12">
        <f>0.70476*C2717</f>
        <v>461.50503840000005</v>
      </c>
      <c r="D2758" s="12">
        <f>0.3731258*C2717</f>
        <v>244.337698872</v>
      </c>
      <c r="E2758" s="12">
        <f>0.553205*C2717</f>
        <v>362.2607622</v>
      </c>
      <c r="F2758" s="12">
        <f>0.522464*C2717</f>
        <v>342.13032576000006</v>
      </c>
    </row>
    <row r="2759" spans="1:6" ht="12.75">
      <c r="A2759" s="153" t="s">
        <v>20</v>
      </c>
      <c r="B2759" s="167">
        <f t="shared" si="45"/>
        <v>521.46742752</v>
      </c>
      <c r="C2759" s="12"/>
      <c r="D2759" s="12">
        <f>0.158142*C2717</f>
        <v>103.55770728</v>
      </c>
      <c r="E2759" s="12">
        <f>0.60489*C2717</f>
        <v>396.10616760000005</v>
      </c>
      <c r="F2759" s="12">
        <f>0.033296*C2717</f>
        <v>21.80355264</v>
      </c>
    </row>
    <row r="2760" spans="1:6" ht="12.75">
      <c r="A2760" s="153" t="s">
        <v>73</v>
      </c>
      <c r="B2760" s="167">
        <f t="shared" si="45"/>
        <v>0</v>
      </c>
      <c r="C2760" s="12"/>
      <c r="D2760" s="12"/>
      <c r="E2760" s="12"/>
      <c r="F2760" s="12"/>
    </row>
    <row r="2761" spans="1:6" ht="12.75">
      <c r="A2761" s="156" t="s">
        <v>11</v>
      </c>
      <c r="B2761" s="166">
        <f t="shared" si="45"/>
        <v>3573.746604432</v>
      </c>
      <c r="C2761" s="157">
        <f>C2755+C2756+C2757+C2758+C2759</f>
        <v>805.45909356</v>
      </c>
      <c r="D2761" s="157">
        <f>SUM(D2755:D2760)</f>
        <v>533.7477730080001</v>
      </c>
      <c r="E2761" s="157">
        <f>SUM(E2755:E2760)</f>
        <v>1218.91983084</v>
      </c>
      <c r="F2761" s="157">
        <f>SUM(F2755:F2760)</f>
        <v>1015.6199070240001</v>
      </c>
    </row>
    <row r="2762" spans="1:6" ht="12.75">
      <c r="A2762" s="153" t="s">
        <v>101</v>
      </c>
      <c r="B2762" s="167">
        <f t="shared" si="45"/>
        <v>427.02853824</v>
      </c>
      <c r="C2762" s="157">
        <f>0.0644*C2717</f>
        <v>42.171696000000004</v>
      </c>
      <c r="D2762" s="157">
        <v>36</v>
      </c>
      <c r="E2762" s="12">
        <f>0.10264*C2717</f>
        <v>67.2127776</v>
      </c>
      <c r="F2762" s="12">
        <f>0.430096*C2717</f>
        <v>281.64406464</v>
      </c>
    </row>
    <row r="2763" spans="1:6" ht="33.75">
      <c r="A2763" s="161" t="s">
        <v>21</v>
      </c>
      <c r="B2763" s="166">
        <f t="shared" si="45"/>
        <v>68589.749613032</v>
      </c>
      <c r="C2763" s="157">
        <f>C2732+C2753+C2761+C2762</f>
        <v>16684.006505560003</v>
      </c>
      <c r="D2763" s="157">
        <f>D2732+D2753+D2761+D2762</f>
        <v>16751.291393008</v>
      </c>
      <c r="E2763" s="157">
        <f>E2732+E2753+E2761</f>
        <v>22647.46333084</v>
      </c>
      <c r="F2763" s="157">
        <f>F2732+F2753+F2761+F2762</f>
        <v>12506.988383624</v>
      </c>
    </row>
    <row r="2764" spans="1:6" ht="45">
      <c r="A2764" s="161" t="s">
        <v>22</v>
      </c>
      <c r="B2764" s="168">
        <f>B2763/12/C2717</f>
        <v>8.728563416640197</v>
      </c>
      <c r="C2764" s="14">
        <f>C2763/C2717/3</f>
        <v>8.492663096104902</v>
      </c>
      <c r="D2764" s="14">
        <f>D2763/3/C2717</f>
        <v>8.526913135528272</v>
      </c>
      <c r="E2764" s="13">
        <f>E2763/3/C2717</f>
        <v>11.528242690753975</v>
      </c>
      <c r="F2764" s="13">
        <f>F2763/3/C2717</f>
        <v>6.36643474417364</v>
      </c>
    </row>
    <row r="2765" spans="1:6" ht="12.75">
      <c r="A2765" s="163" t="s">
        <v>34</v>
      </c>
      <c r="B2765" s="154">
        <f>B2721-B2763</f>
        <v>19815.23038696799</v>
      </c>
      <c r="C2765" s="165">
        <f>C2721-C2763</f>
        <v>7844.813494439997</v>
      </c>
      <c r="D2765" s="12">
        <f>D2721-D2763+C2765</f>
        <v>21922.052101431997</v>
      </c>
      <c r="E2765" s="12">
        <f>E2721-E2763+D2765</f>
        <v>19790.108770591996</v>
      </c>
      <c r="F2765" s="12">
        <f>F2721-F2763+E2765</f>
        <v>19815.230386967996</v>
      </c>
    </row>
    <row r="2766" spans="1:6" ht="12.75">
      <c r="A2766" s="29" t="s">
        <v>44</v>
      </c>
      <c r="B2766" s="29"/>
      <c r="C2766" s="29"/>
      <c r="D2766" s="29"/>
      <c r="E2766" s="29"/>
      <c r="F2766" s="29"/>
    </row>
    <row r="2767" spans="1:6" ht="12.75">
      <c r="A2767" s="29" t="s">
        <v>45</v>
      </c>
      <c r="B2767" s="29"/>
      <c r="C2767" s="29"/>
      <c r="D2767" s="29"/>
      <c r="E2767" s="29"/>
      <c r="F2767" s="29"/>
    </row>
    <row r="2768" spans="1:6" ht="12.75">
      <c r="A2768" s="29" t="s">
        <v>579</v>
      </c>
      <c r="B2768" s="29"/>
      <c r="C2768" s="29"/>
      <c r="D2768" s="29"/>
      <c r="E2768" s="29"/>
      <c r="F2768" s="29"/>
    </row>
    <row r="2769" spans="1:6" ht="12.75">
      <c r="A2769" s="29"/>
      <c r="B2769" s="29"/>
      <c r="C2769" s="29"/>
      <c r="D2769" s="29"/>
      <c r="E2769" s="29"/>
      <c r="F2769" s="29"/>
    </row>
    <row r="2770" spans="1:6" ht="12.75">
      <c r="A2770" s="29"/>
      <c r="B2770" s="29"/>
      <c r="C2770" s="29"/>
      <c r="D2770" s="29"/>
      <c r="E2770" s="29"/>
      <c r="F2770" s="29"/>
    </row>
    <row r="2771" spans="1:6" ht="12.75">
      <c r="A2771" s="29"/>
      <c r="B2771" s="29"/>
      <c r="C2771" s="29"/>
      <c r="D2771" s="29"/>
      <c r="E2771" s="29"/>
      <c r="F2771" s="29"/>
    </row>
    <row r="2772" spans="1:6" ht="12.75">
      <c r="A2772" s="29"/>
      <c r="B2772" s="29"/>
      <c r="C2772" s="29"/>
      <c r="D2772" s="29"/>
      <c r="E2772" s="29"/>
      <c r="F2772" s="29"/>
    </row>
    <row r="2773" spans="1:6" ht="12.75">
      <c r="A2773" s="29"/>
      <c r="B2773" s="29"/>
      <c r="C2773" s="29"/>
      <c r="D2773" s="29"/>
      <c r="E2773" s="29"/>
      <c r="F2773" s="29"/>
    </row>
    <row r="2774" spans="1:6" ht="12.75">
      <c r="A2774" s="29"/>
      <c r="B2774" s="29"/>
      <c r="C2774" s="29"/>
      <c r="D2774" s="29"/>
      <c r="E2774" s="29"/>
      <c r="F2774" s="29"/>
    </row>
    <row r="2775" spans="1:6" ht="12.75">
      <c r="A2775" s="29"/>
      <c r="B2775" s="29"/>
      <c r="C2775" s="29"/>
      <c r="D2775" s="29"/>
      <c r="E2775" s="29"/>
      <c r="F2775" s="29"/>
    </row>
    <row r="2776" spans="1:6" ht="12.75">
      <c r="A2776" s="29"/>
      <c r="B2776" s="29"/>
      <c r="C2776" s="29"/>
      <c r="D2776" s="29"/>
      <c r="E2776" s="29"/>
      <c r="F2776" s="29"/>
    </row>
    <row r="2777" spans="1:6" ht="12.75">
      <c r="A2777" s="29"/>
      <c r="B2777" s="29"/>
      <c r="C2777" s="29"/>
      <c r="D2777" s="29"/>
      <c r="E2777" s="29"/>
      <c r="F2777" s="29"/>
    </row>
    <row r="2778" spans="1:6" ht="12.75">
      <c r="A2778" s="29"/>
      <c r="B2778" s="29"/>
      <c r="C2778" s="29"/>
      <c r="D2778" s="29"/>
      <c r="E2778" s="29"/>
      <c r="F2778" s="29"/>
    </row>
    <row r="2779" spans="1:6" ht="12.75">
      <c r="A2779" s="29"/>
      <c r="B2779" s="29"/>
      <c r="C2779" s="29"/>
      <c r="D2779" s="29"/>
      <c r="E2779" s="29"/>
      <c r="F2779" s="29"/>
    </row>
    <row r="2780" spans="1:6" ht="12.75">
      <c r="A2780" s="29"/>
      <c r="B2780" s="29"/>
      <c r="C2780" s="29"/>
      <c r="D2780" s="29"/>
      <c r="E2780" s="29"/>
      <c r="F2780" s="29"/>
    </row>
    <row r="2781" spans="1:6" ht="12.75">
      <c r="A2781" s="29"/>
      <c r="B2781" s="29"/>
      <c r="C2781" s="29"/>
      <c r="D2781" s="29"/>
      <c r="E2781" s="29"/>
      <c r="F2781" s="29"/>
    </row>
    <row r="2782" spans="1:6" ht="12.75">
      <c r="A2782" s="29"/>
      <c r="B2782" s="29"/>
      <c r="C2782" s="29"/>
      <c r="D2782" s="29"/>
      <c r="E2782" s="29"/>
      <c r="F2782" s="29"/>
    </row>
    <row r="2783" spans="1:6" ht="12.75">
      <c r="A2783" s="29"/>
      <c r="B2783" s="29"/>
      <c r="C2783" s="29"/>
      <c r="D2783" s="29"/>
      <c r="E2783" s="29"/>
      <c r="F2783" s="29"/>
    </row>
    <row r="2784" spans="1:6" ht="12.75">
      <c r="A2784" s="29"/>
      <c r="B2784" s="29"/>
      <c r="C2784" s="29"/>
      <c r="D2784" s="29"/>
      <c r="E2784" s="29"/>
      <c r="F2784" s="29"/>
    </row>
    <row r="2785" spans="1:6" ht="12.75">
      <c r="A2785" s="29"/>
      <c r="B2785" s="29"/>
      <c r="C2785" s="29"/>
      <c r="D2785" s="29"/>
      <c r="E2785" s="29"/>
      <c r="F2785" s="29"/>
    </row>
    <row r="2786" spans="1:6" ht="12.75">
      <c r="A2786" s="29"/>
      <c r="B2786" s="29"/>
      <c r="C2786" s="29"/>
      <c r="D2786" s="29"/>
      <c r="E2786" s="29"/>
      <c r="F2786" s="29"/>
    </row>
    <row r="2787" spans="1:6" ht="12.75">
      <c r="A2787" s="29"/>
      <c r="B2787" s="29"/>
      <c r="C2787" s="29"/>
      <c r="D2787" s="29"/>
      <c r="E2787" s="29"/>
      <c r="F2787" s="29"/>
    </row>
    <row r="2788" spans="1:6" ht="12.75">
      <c r="A2788" s="29"/>
      <c r="B2788" s="29"/>
      <c r="C2788" s="29"/>
      <c r="D2788" s="29"/>
      <c r="E2788" s="29"/>
      <c r="F2788" s="29"/>
    </row>
    <row r="2789" spans="1:6" ht="12.75">
      <c r="A2789" s="29"/>
      <c r="B2789" s="29"/>
      <c r="C2789" s="29"/>
      <c r="D2789" s="29"/>
      <c r="E2789" s="29"/>
      <c r="F2789" s="29"/>
    </row>
    <row r="2790" spans="1:6" ht="55.5" customHeight="1">
      <c r="A2790" s="29"/>
      <c r="B2790" s="29"/>
      <c r="C2790" s="29"/>
      <c r="D2790" s="29"/>
      <c r="E2790" s="29"/>
      <c r="F2790" s="29"/>
    </row>
    <row r="2791" spans="1:6" ht="12.75">
      <c r="A2791" s="120" t="s">
        <v>35</v>
      </c>
      <c r="B2791" s="120"/>
      <c r="C2791" s="29"/>
      <c r="D2791" s="29"/>
      <c r="E2791" s="29"/>
      <c r="F2791" s="29"/>
    </row>
    <row r="2792" spans="1:6" ht="12.75">
      <c r="A2792" s="29" t="s">
        <v>616</v>
      </c>
      <c r="B2792" s="29"/>
      <c r="C2792" s="29"/>
      <c r="D2792" s="29"/>
      <c r="E2792" s="29"/>
      <c r="F2792" s="29"/>
    </row>
    <row r="2793" spans="1:6" ht="12.75">
      <c r="A2793" s="29" t="s">
        <v>224</v>
      </c>
      <c r="B2793" s="29"/>
      <c r="C2793" s="29"/>
      <c r="D2793" s="29"/>
      <c r="E2793" s="29"/>
      <c r="F2793" s="29"/>
    </row>
    <row r="2794" spans="1:6" ht="12.75">
      <c r="A2794" s="29" t="s">
        <v>139</v>
      </c>
      <c r="B2794" s="29"/>
      <c r="C2794" s="29"/>
      <c r="D2794" s="29"/>
      <c r="E2794" s="29" t="s">
        <v>340</v>
      </c>
      <c r="F2794" s="29"/>
    </row>
    <row r="2795" spans="1:6" ht="12.75">
      <c r="A2795" s="10" t="s">
        <v>1</v>
      </c>
      <c r="B2795" s="10" t="s">
        <v>11</v>
      </c>
      <c r="C2795" s="10" t="s">
        <v>86</v>
      </c>
      <c r="D2795" s="10" t="s">
        <v>87</v>
      </c>
      <c r="E2795" s="10" t="s">
        <v>120</v>
      </c>
      <c r="F2795" s="10" t="s">
        <v>141</v>
      </c>
    </row>
    <row r="2796" spans="1:6" ht="12.75">
      <c r="A2796" s="22" t="s">
        <v>6</v>
      </c>
      <c r="B2796" s="22"/>
      <c r="C2796" s="10"/>
      <c r="D2796" s="5"/>
      <c r="E2796" s="5"/>
      <c r="F2796" s="5"/>
    </row>
    <row r="2797" spans="1:6" ht="12.75">
      <c r="A2797" s="5" t="s">
        <v>2</v>
      </c>
      <c r="B2797" s="5"/>
      <c r="C2797" s="10">
        <v>3</v>
      </c>
      <c r="D2797" s="5"/>
      <c r="E2797" s="5"/>
      <c r="F2797" s="5"/>
    </row>
    <row r="2798" spans="1:6" ht="12.75">
      <c r="A2798" s="5" t="s">
        <v>3</v>
      </c>
      <c r="B2798" s="5"/>
      <c r="C2798" s="10">
        <v>1</v>
      </c>
      <c r="D2798" s="5"/>
      <c r="E2798" s="5"/>
      <c r="F2798" s="5"/>
    </row>
    <row r="2799" spans="1:6" ht="12.75">
      <c r="A2799" s="5" t="s">
        <v>4</v>
      </c>
      <c r="B2799" s="5"/>
      <c r="C2799" s="10">
        <v>81</v>
      </c>
      <c r="D2799" s="5"/>
      <c r="E2799" s="5"/>
      <c r="F2799" s="5"/>
    </row>
    <row r="2800" spans="1:6" ht="12.75">
      <c r="A2800" s="5" t="s">
        <v>5</v>
      </c>
      <c r="B2800" s="5"/>
      <c r="C2800" s="10">
        <v>1493.57</v>
      </c>
      <c r="D2800" s="5"/>
      <c r="E2800" s="5"/>
      <c r="F2800" s="5"/>
    </row>
    <row r="2801" spans="1:6" ht="22.5">
      <c r="A2801" s="150" t="s">
        <v>7</v>
      </c>
      <c r="B2801" s="150"/>
      <c r="C2801" s="5" t="s">
        <v>36</v>
      </c>
      <c r="D2801" s="5"/>
      <c r="E2801" s="5"/>
      <c r="F2801" s="5"/>
    </row>
    <row r="2802" spans="1:6" ht="22.5">
      <c r="A2802" s="151" t="s">
        <v>8</v>
      </c>
      <c r="B2802" s="152">
        <f>C2802+D2802+E2802+F2802</f>
        <v>40808.1</v>
      </c>
      <c r="C2802" s="5">
        <v>29201.48</v>
      </c>
      <c r="D2802" s="10">
        <v>6295.14</v>
      </c>
      <c r="E2802" s="10">
        <v>3701.2</v>
      </c>
      <c r="F2802" s="10">
        <v>1610.28</v>
      </c>
    </row>
    <row r="2803" spans="1:6" ht="22.5">
      <c r="A2803" s="153" t="s">
        <v>9</v>
      </c>
      <c r="B2803" s="152">
        <f aca="true" t="shared" si="46" ref="B2803:B2846">C2803+D2803+E2803+F2803</f>
        <v>0</v>
      </c>
      <c r="C2803" s="5"/>
      <c r="D2803" s="10"/>
      <c r="E2803" s="10"/>
      <c r="F2803" s="10"/>
    </row>
    <row r="2804" spans="1:6" ht="12.75">
      <c r="A2804" s="5" t="s">
        <v>11</v>
      </c>
      <c r="B2804" s="152">
        <f t="shared" si="46"/>
        <v>40808.1</v>
      </c>
      <c r="C2804" s="5">
        <f>C2802</f>
        <v>29201.48</v>
      </c>
      <c r="D2804" s="22">
        <f>SUM(D2802:D2803)</f>
        <v>6295.14</v>
      </c>
      <c r="E2804" s="10">
        <f>SUM(E2802:E2803)</f>
        <v>3701.2</v>
      </c>
      <c r="F2804" s="10">
        <f>SUM(F2802:F2803)</f>
        <v>1610.28</v>
      </c>
    </row>
    <row r="2805" spans="1:6" ht="22.5">
      <c r="A2805" s="150" t="s">
        <v>12</v>
      </c>
      <c r="B2805" s="154">
        <f t="shared" si="46"/>
        <v>0</v>
      </c>
      <c r="C2805" s="5"/>
      <c r="D2805" s="5"/>
      <c r="E2805" s="5"/>
      <c r="F2805" s="5"/>
    </row>
    <row r="2806" spans="1:7" ht="12.75">
      <c r="A2806" s="156" t="s">
        <v>13</v>
      </c>
      <c r="B2806" s="154">
        <f t="shared" si="46"/>
        <v>11343.216078999998</v>
      </c>
      <c r="C2806" s="157">
        <f>7.5947*C2800</f>
        <v>11343.216078999998</v>
      </c>
      <c r="D2806" s="157"/>
      <c r="E2806" s="12"/>
      <c r="F2806" s="157"/>
      <c r="G2806" s="8"/>
    </row>
    <row r="2807" spans="1:6" ht="21.75">
      <c r="A2807" s="156" t="s">
        <v>14</v>
      </c>
      <c r="B2807" s="154">
        <f t="shared" si="46"/>
        <v>0</v>
      </c>
      <c r="C2807" s="12"/>
      <c r="D2807" s="12"/>
      <c r="E2807" s="12"/>
      <c r="F2807" s="12"/>
    </row>
    <row r="2808" spans="1:6" ht="12.75">
      <c r="A2808" s="153" t="s">
        <v>15</v>
      </c>
      <c r="B2808" s="154">
        <f t="shared" si="46"/>
        <v>16388.84</v>
      </c>
      <c r="C2808" s="12">
        <f>C2809+C2811</f>
        <v>16388.84</v>
      </c>
      <c r="D2808" s="12"/>
      <c r="E2808" s="12"/>
      <c r="F2808" s="12"/>
    </row>
    <row r="2809" spans="1:6" ht="12.75">
      <c r="A2809" s="158" t="s">
        <v>16</v>
      </c>
      <c r="B2809" s="154">
        <f t="shared" si="46"/>
        <v>16270</v>
      </c>
      <c r="C2809" s="12">
        <v>16270</v>
      </c>
      <c r="D2809" s="12"/>
      <c r="E2809" s="12"/>
      <c r="F2809" s="12"/>
    </row>
    <row r="2810" spans="1:6" ht="12.75">
      <c r="A2810" s="153" t="s">
        <v>33</v>
      </c>
      <c r="B2810" s="154">
        <f t="shared" si="46"/>
        <v>11366</v>
      </c>
      <c r="C2810" s="12">
        <v>11366</v>
      </c>
      <c r="D2810" s="12"/>
      <c r="E2810" s="12"/>
      <c r="F2810" s="12"/>
    </row>
    <row r="2811" spans="1:6" ht="12.75">
      <c r="A2811" s="153" t="s">
        <v>24</v>
      </c>
      <c r="B2811" s="154">
        <f t="shared" si="46"/>
        <v>118.84</v>
      </c>
      <c r="C2811" s="12">
        <v>118.84</v>
      </c>
      <c r="D2811" s="12"/>
      <c r="E2811" s="12"/>
      <c r="F2811" s="12"/>
    </row>
    <row r="2812" spans="1:6" ht="12.75">
      <c r="A2812" s="153" t="s">
        <v>17</v>
      </c>
      <c r="B2812" s="154">
        <f t="shared" si="46"/>
        <v>0</v>
      </c>
      <c r="C2812" s="12"/>
      <c r="D2812" s="12"/>
      <c r="E2812" s="12"/>
      <c r="F2812" s="12"/>
    </row>
    <row r="2813" spans="1:6" ht="12.75">
      <c r="A2813" s="153" t="s">
        <v>40</v>
      </c>
      <c r="B2813" s="154">
        <f t="shared" si="46"/>
        <v>0</v>
      </c>
      <c r="C2813" s="12"/>
      <c r="D2813" s="12"/>
      <c r="E2813" s="12"/>
      <c r="F2813" s="12"/>
    </row>
    <row r="2814" spans="1:6" ht="12.75">
      <c r="A2814" s="153" t="s">
        <v>94</v>
      </c>
      <c r="B2814" s="154">
        <f t="shared" si="46"/>
        <v>0</v>
      </c>
      <c r="C2814" s="12"/>
      <c r="D2814" s="12"/>
      <c r="E2814" s="12"/>
      <c r="F2814" s="12"/>
    </row>
    <row r="2815" spans="1:6" ht="12.75">
      <c r="A2815" s="155" t="s">
        <v>11</v>
      </c>
      <c r="B2815" s="154">
        <f t="shared" si="46"/>
        <v>27732.056078999998</v>
      </c>
      <c r="C2815" s="157">
        <f>C2806+C2808</f>
        <v>27732.056078999998</v>
      </c>
      <c r="D2815" s="157">
        <f>D2806+D2808</f>
        <v>0</v>
      </c>
      <c r="E2815" s="12">
        <f>E2806+E2808</f>
        <v>0</v>
      </c>
      <c r="F2815" s="12">
        <f>F2806+F2808</f>
        <v>0</v>
      </c>
    </row>
    <row r="2816" spans="1:6" ht="21.75">
      <c r="A2816" s="159" t="s">
        <v>18</v>
      </c>
      <c r="B2816" s="154">
        <f t="shared" si="46"/>
        <v>0</v>
      </c>
      <c r="C2816" s="12"/>
      <c r="D2816" s="12"/>
      <c r="E2816" s="12"/>
      <c r="F2816" s="12"/>
    </row>
    <row r="2817" spans="1:6" ht="12.75">
      <c r="A2817" s="153" t="s">
        <v>23</v>
      </c>
      <c r="B2817" s="154">
        <f t="shared" si="46"/>
        <v>7968.494664</v>
      </c>
      <c r="C2817" s="12">
        <f>5.3352*C2800</f>
        <v>7968.494664</v>
      </c>
      <c r="D2817" s="12"/>
      <c r="E2817" s="12"/>
      <c r="F2817" s="12"/>
    </row>
    <row r="2818" spans="1:6" ht="12.75">
      <c r="A2818" s="153" t="s">
        <v>140</v>
      </c>
      <c r="B2818" s="154">
        <f t="shared" si="46"/>
        <v>26098</v>
      </c>
      <c r="C2818" s="12"/>
      <c r="D2818" s="12"/>
      <c r="E2818" s="12">
        <v>26098</v>
      </c>
      <c r="F2818" s="12"/>
    </row>
    <row r="2819" spans="1:6" ht="12.75">
      <c r="A2819" s="153" t="s">
        <v>62</v>
      </c>
      <c r="B2819" s="154">
        <f t="shared" si="46"/>
        <v>0</v>
      </c>
      <c r="C2819" s="12"/>
      <c r="D2819" s="12"/>
      <c r="E2819" s="12"/>
      <c r="F2819" s="12"/>
    </row>
    <row r="2820" spans="1:6" ht="12.75">
      <c r="A2820" s="153" t="s">
        <v>30</v>
      </c>
      <c r="B2820" s="154">
        <f t="shared" si="46"/>
        <v>0</v>
      </c>
      <c r="C2820" s="12"/>
      <c r="D2820" s="12"/>
      <c r="E2820" s="12"/>
      <c r="F2820" s="12"/>
    </row>
    <row r="2821" spans="1:6" ht="12.75">
      <c r="A2821" s="153" t="s">
        <v>28</v>
      </c>
      <c r="B2821" s="154">
        <f t="shared" si="46"/>
        <v>0</v>
      </c>
      <c r="C2821" s="12"/>
      <c r="D2821" s="12"/>
      <c r="E2821" s="12"/>
      <c r="F2821" s="12"/>
    </row>
    <row r="2822" spans="1:6" ht="12.75">
      <c r="A2822" s="153" t="s">
        <v>41</v>
      </c>
      <c r="B2822" s="154">
        <f t="shared" si="46"/>
        <v>0</v>
      </c>
      <c r="C2822" s="12"/>
      <c r="D2822" s="12"/>
      <c r="E2822" s="12"/>
      <c r="F2822" s="12"/>
    </row>
    <row r="2823" spans="1:6" ht="12.75">
      <c r="A2823" s="153" t="s">
        <v>50</v>
      </c>
      <c r="B2823" s="154">
        <f t="shared" si="46"/>
        <v>0</v>
      </c>
      <c r="C2823" s="12"/>
      <c r="D2823" s="12"/>
      <c r="E2823" s="12"/>
      <c r="F2823" s="12"/>
    </row>
    <row r="2824" spans="1:6" ht="12.75">
      <c r="A2824" s="153" t="s">
        <v>52</v>
      </c>
      <c r="B2824" s="154">
        <f t="shared" si="46"/>
        <v>0</v>
      </c>
      <c r="C2824" s="12"/>
      <c r="D2824" s="12"/>
      <c r="E2824" s="12"/>
      <c r="F2824" s="12"/>
    </row>
    <row r="2825" spans="1:6" ht="22.5">
      <c r="A2825" s="153" t="s">
        <v>225</v>
      </c>
      <c r="B2825" s="154">
        <f t="shared" si="46"/>
        <v>0</v>
      </c>
      <c r="C2825" s="12"/>
      <c r="D2825" s="12"/>
      <c r="E2825" s="12"/>
      <c r="F2825" s="12"/>
    </row>
    <row r="2826" spans="1:6" ht="12.75">
      <c r="A2826" s="153" t="s">
        <v>27</v>
      </c>
      <c r="B2826" s="154">
        <f t="shared" si="46"/>
        <v>0</v>
      </c>
      <c r="C2826" s="12"/>
      <c r="D2826" s="12"/>
      <c r="E2826" s="12"/>
      <c r="F2826" s="12"/>
    </row>
    <row r="2827" spans="1:6" ht="12.75">
      <c r="A2827" s="153" t="s">
        <v>46</v>
      </c>
      <c r="B2827" s="154">
        <f t="shared" si="46"/>
        <v>0</v>
      </c>
      <c r="C2827" s="12"/>
      <c r="D2827" s="12"/>
      <c r="E2827" s="12"/>
      <c r="F2827" s="12"/>
    </row>
    <row r="2828" spans="1:6" ht="12.75">
      <c r="A2828" s="153" t="s">
        <v>47</v>
      </c>
      <c r="B2828" s="154">
        <f t="shared" si="46"/>
        <v>0</v>
      </c>
      <c r="C2828" s="12"/>
      <c r="D2828" s="12"/>
      <c r="E2828" s="12"/>
      <c r="F2828" s="12"/>
    </row>
    <row r="2829" spans="1:6" ht="12.75">
      <c r="A2829" s="153" t="s">
        <v>82</v>
      </c>
      <c r="B2829" s="154">
        <f t="shared" si="46"/>
        <v>0</v>
      </c>
      <c r="C2829" s="12"/>
      <c r="D2829" s="12"/>
      <c r="E2829" s="12"/>
      <c r="F2829" s="12"/>
    </row>
    <row r="2830" spans="1:6" ht="12.75">
      <c r="A2830" s="153" t="s">
        <v>48</v>
      </c>
      <c r="B2830" s="154">
        <f t="shared" si="46"/>
        <v>0</v>
      </c>
      <c r="C2830" s="12"/>
      <c r="D2830" s="12"/>
      <c r="E2830" s="12"/>
      <c r="F2830" s="12"/>
    </row>
    <row r="2831" spans="1:6" ht="12.75">
      <c r="A2831" s="153" t="s">
        <v>72</v>
      </c>
      <c r="B2831" s="154">
        <f t="shared" si="46"/>
        <v>0</v>
      </c>
      <c r="C2831" s="12"/>
      <c r="D2831" s="12"/>
      <c r="E2831" s="12"/>
      <c r="F2831" s="12"/>
    </row>
    <row r="2832" spans="1:6" ht="12.75">
      <c r="A2832" s="153" t="s">
        <v>79</v>
      </c>
      <c r="B2832" s="154">
        <f t="shared" si="46"/>
        <v>0</v>
      </c>
      <c r="C2832" s="12"/>
      <c r="D2832" s="12"/>
      <c r="E2832" s="12"/>
      <c r="F2832" s="12"/>
    </row>
    <row r="2833" spans="1:6" ht="12.75">
      <c r="A2833" s="153" t="s">
        <v>55</v>
      </c>
      <c r="B2833" s="154">
        <f t="shared" si="46"/>
        <v>0</v>
      </c>
      <c r="C2833" s="12"/>
      <c r="D2833" s="12"/>
      <c r="E2833" s="12"/>
      <c r="F2833" s="12"/>
    </row>
    <row r="2834" spans="1:6" ht="12.75">
      <c r="A2834" s="153" t="s">
        <v>57</v>
      </c>
      <c r="B2834" s="154">
        <f t="shared" si="46"/>
        <v>0</v>
      </c>
      <c r="C2834" s="12"/>
      <c r="D2834" s="12"/>
      <c r="E2834" s="12"/>
      <c r="F2834" s="12"/>
    </row>
    <row r="2835" spans="1:6" ht="12.75">
      <c r="A2835" s="153" t="s">
        <v>67</v>
      </c>
      <c r="B2835" s="154">
        <f t="shared" si="46"/>
        <v>0</v>
      </c>
      <c r="C2835" s="12"/>
      <c r="D2835" s="12"/>
      <c r="E2835" s="12"/>
      <c r="F2835" s="12"/>
    </row>
    <row r="2836" spans="1:6" ht="12.75">
      <c r="A2836" s="155" t="s">
        <v>11</v>
      </c>
      <c r="B2836" s="154">
        <f t="shared" si="46"/>
        <v>34066.494664</v>
      </c>
      <c r="C2836" s="157">
        <f>SUM(C2817:C2835)</f>
        <v>7968.494664</v>
      </c>
      <c r="D2836" s="157">
        <f>SUM(D2817:D2835)</f>
        <v>0</v>
      </c>
      <c r="E2836" s="12">
        <f>SUM(E2817:E2835)</f>
        <v>26098</v>
      </c>
      <c r="F2836" s="12">
        <f>SUM(F2817:F2835)</f>
        <v>0</v>
      </c>
    </row>
    <row r="2837" spans="1:6" ht="12.75">
      <c r="A2837" s="155" t="s">
        <v>19</v>
      </c>
      <c r="B2837" s="154">
        <f t="shared" si="46"/>
        <v>0</v>
      </c>
      <c r="C2837" s="12"/>
      <c r="D2837" s="12"/>
      <c r="E2837" s="12"/>
      <c r="F2837" s="12"/>
    </row>
    <row r="2838" spans="1:6" ht="12.75">
      <c r="A2838" s="153" t="s">
        <v>38</v>
      </c>
      <c r="B2838" s="154">
        <f t="shared" si="46"/>
        <v>326.59297762</v>
      </c>
      <c r="C2838" s="12">
        <f>0.218666*C2800</f>
        <v>326.59297762</v>
      </c>
      <c r="D2838" s="12"/>
      <c r="E2838" s="12"/>
      <c r="F2838" s="12"/>
    </row>
    <row r="2839" spans="1:6" ht="12.75">
      <c r="A2839" s="153" t="s">
        <v>39</v>
      </c>
      <c r="B2839" s="154">
        <f t="shared" si="46"/>
        <v>457.90317130999995</v>
      </c>
      <c r="C2839" s="12">
        <f>0.306583*C2800</f>
        <v>457.90317130999995</v>
      </c>
      <c r="D2839" s="12"/>
      <c r="E2839" s="12"/>
      <c r="F2839" s="12"/>
    </row>
    <row r="2840" spans="1:6" ht="12.75">
      <c r="A2840" s="153" t="s">
        <v>32</v>
      </c>
      <c r="B2840" s="154">
        <f t="shared" si="46"/>
        <v>0</v>
      </c>
      <c r="C2840" s="12"/>
      <c r="D2840" s="12"/>
      <c r="E2840" s="12"/>
      <c r="F2840" s="12"/>
    </row>
    <row r="2841" spans="1:6" ht="12.75">
      <c r="A2841" s="153" t="s">
        <v>37</v>
      </c>
      <c r="B2841" s="154">
        <f t="shared" si="46"/>
        <v>1052.6083932000001</v>
      </c>
      <c r="C2841" s="12">
        <f>0.70476*C2800</f>
        <v>1052.6083932000001</v>
      </c>
      <c r="D2841" s="12"/>
      <c r="E2841" s="12"/>
      <c r="F2841" s="12"/>
    </row>
    <row r="2842" spans="1:6" ht="12.75">
      <c r="A2842" s="153" t="s">
        <v>20</v>
      </c>
      <c r="B2842" s="154">
        <f t="shared" si="46"/>
        <v>0</v>
      </c>
      <c r="C2842" s="12"/>
      <c r="D2842" s="12"/>
      <c r="E2842" s="12"/>
      <c r="F2842" s="12"/>
    </row>
    <row r="2843" spans="1:6" ht="12.75">
      <c r="A2843" s="153" t="s">
        <v>73</v>
      </c>
      <c r="B2843" s="154">
        <f t="shared" si="46"/>
        <v>0</v>
      </c>
      <c r="C2843" s="12"/>
      <c r="D2843" s="12"/>
      <c r="E2843" s="12"/>
      <c r="F2843" s="12"/>
    </row>
    <row r="2844" spans="1:6" ht="12.75">
      <c r="A2844" s="156" t="s">
        <v>11</v>
      </c>
      <c r="B2844" s="154">
        <f t="shared" si="46"/>
        <v>1837.10454213</v>
      </c>
      <c r="C2844" s="157">
        <f>SUM(C2838:C2843)</f>
        <v>1837.10454213</v>
      </c>
      <c r="D2844" s="157">
        <f>SUM(D2838:D2843)</f>
        <v>0</v>
      </c>
      <c r="E2844" s="12">
        <f>SUM(E2838:E2843)</f>
        <v>0</v>
      </c>
      <c r="F2844" s="12">
        <f>SUM(F2838:F2843)</f>
        <v>0</v>
      </c>
    </row>
    <row r="2845" spans="1:6" ht="12.75">
      <c r="A2845" s="153" t="s">
        <v>101</v>
      </c>
      <c r="B2845" s="154">
        <f t="shared" si="46"/>
        <v>96.185908</v>
      </c>
      <c r="C2845" s="12">
        <f>0.0644*C2800</f>
        <v>96.185908</v>
      </c>
      <c r="D2845" s="157"/>
      <c r="E2845" s="12"/>
      <c r="F2845" s="12"/>
    </row>
    <row r="2846" spans="1:6" ht="33.75">
      <c r="A2846" s="161" t="s">
        <v>21</v>
      </c>
      <c r="B2846" s="154">
        <f t="shared" si="46"/>
        <v>63731.84119313</v>
      </c>
      <c r="C2846" s="157">
        <f>C2815+C2836+C2844+C2845</f>
        <v>37633.84119313</v>
      </c>
      <c r="D2846" s="157">
        <f>D2815+D2836+D2844+D2845</f>
        <v>0</v>
      </c>
      <c r="E2846" s="12">
        <f>E2815+E2836+E2844</f>
        <v>26098</v>
      </c>
      <c r="F2846" s="12">
        <f>F2815+F2836+F2844+F2845</f>
        <v>0</v>
      </c>
    </row>
    <row r="2847" spans="1:6" ht="45">
      <c r="A2847" s="161" t="s">
        <v>22</v>
      </c>
      <c r="B2847" s="168">
        <f>B2846/12/C2800</f>
        <v>3.5559008055157553</v>
      </c>
      <c r="C2847" s="172">
        <f>C2846/2/C2800</f>
        <v>12.598619814648796</v>
      </c>
      <c r="D2847" s="14">
        <f>D2846/3/C2800</f>
        <v>0</v>
      </c>
      <c r="E2847" s="13">
        <f>E2846/3/C2800</f>
        <v>5.824523345630492</v>
      </c>
      <c r="F2847" s="13">
        <f>F2846/3/C2800</f>
        <v>0</v>
      </c>
    </row>
    <row r="2848" spans="1:6" ht="12.75">
      <c r="A2848" s="163" t="s">
        <v>34</v>
      </c>
      <c r="B2848" s="160">
        <f>B2804-B2846</f>
        <v>-22923.74119313</v>
      </c>
      <c r="C2848" s="165">
        <f>C2804-C2846</f>
        <v>-8432.36119313</v>
      </c>
      <c r="D2848" s="12">
        <f>D2804-8432</f>
        <v>-2136.8599999999997</v>
      </c>
      <c r="E2848" s="12">
        <f>E2804-E2846+D2848</f>
        <v>-24533.66</v>
      </c>
      <c r="F2848" s="12">
        <v>-22924</v>
      </c>
    </row>
    <row r="2849" spans="1:6" ht="12.75">
      <c r="A2849" s="29" t="s">
        <v>44</v>
      </c>
      <c r="B2849" s="29"/>
      <c r="C2849" s="29"/>
      <c r="D2849" s="29"/>
      <c r="E2849" s="29"/>
      <c r="F2849" s="29"/>
    </row>
    <row r="2850" spans="1:6" ht="12.75">
      <c r="A2850" s="29" t="s">
        <v>45</v>
      </c>
      <c r="B2850" s="29"/>
      <c r="C2850" s="29"/>
      <c r="D2850" s="29"/>
      <c r="E2850" s="29"/>
      <c r="F2850" s="29"/>
    </row>
    <row r="2851" spans="1:6" ht="12.75">
      <c r="A2851" s="29" t="s">
        <v>579</v>
      </c>
      <c r="B2851" s="29"/>
      <c r="C2851" s="29"/>
      <c r="D2851" s="29"/>
      <c r="E2851" s="29"/>
      <c r="F2851" s="29"/>
    </row>
    <row r="2852" spans="1:6" ht="12.75">
      <c r="A2852" s="29"/>
      <c r="B2852" s="29"/>
      <c r="C2852" s="29"/>
      <c r="D2852" s="29"/>
      <c r="E2852" s="29"/>
      <c r="F2852" s="29"/>
    </row>
    <row r="2853" spans="1:6" ht="12.75">
      <c r="A2853" s="29"/>
      <c r="B2853" s="29"/>
      <c r="C2853" s="29"/>
      <c r="D2853" s="29"/>
      <c r="E2853" s="29"/>
      <c r="F2853" s="29"/>
    </row>
    <row r="2854" spans="1:6" ht="12.75">
      <c r="A2854" s="29"/>
      <c r="B2854" s="29"/>
      <c r="C2854" s="29"/>
      <c r="D2854" s="29"/>
      <c r="E2854" s="29"/>
      <c r="F2854" s="29"/>
    </row>
    <row r="2855" spans="1:6" ht="12.75">
      <c r="A2855" s="29"/>
      <c r="B2855" s="29"/>
      <c r="C2855" s="29"/>
      <c r="D2855" s="29"/>
      <c r="E2855" s="29"/>
      <c r="F2855" s="29"/>
    </row>
    <row r="2856" spans="1:6" ht="12.75">
      <c r="A2856" s="29"/>
      <c r="B2856" s="29"/>
      <c r="C2856" s="29"/>
      <c r="D2856" s="29"/>
      <c r="E2856" s="29"/>
      <c r="F2856" s="29"/>
    </row>
    <row r="2857" spans="1:6" ht="12.75">
      <c r="A2857" s="29"/>
      <c r="B2857" s="29"/>
      <c r="C2857" s="29"/>
      <c r="D2857" s="29"/>
      <c r="E2857" s="29"/>
      <c r="F2857" s="29"/>
    </row>
    <row r="2858" spans="1:6" ht="12.75">
      <c r="A2858" s="29"/>
      <c r="B2858" s="29"/>
      <c r="C2858" s="29"/>
      <c r="D2858" s="29"/>
      <c r="E2858" s="29"/>
      <c r="F2858" s="29"/>
    </row>
    <row r="2859" spans="1:6" ht="12.75">
      <c r="A2859" s="29"/>
      <c r="B2859" s="29"/>
      <c r="C2859" s="29"/>
      <c r="D2859" s="29"/>
      <c r="E2859" s="29"/>
      <c r="F2859" s="29"/>
    </row>
    <row r="2860" spans="1:6" ht="12.75">
      <c r="A2860" s="29"/>
      <c r="B2860" s="29"/>
      <c r="C2860" s="29"/>
      <c r="D2860" s="29"/>
      <c r="E2860" s="29"/>
      <c r="F2860" s="29"/>
    </row>
    <row r="2861" spans="1:6" ht="12.75">
      <c r="A2861" s="29"/>
      <c r="B2861" s="29"/>
      <c r="C2861" s="29"/>
      <c r="D2861" s="29"/>
      <c r="E2861" s="29"/>
      <c r="F2861" s="29"/>
    </row>
    <row r="2862" spans="1:6" ht="12.75">
      <c r="A2862" s="29"/>
      <c r="B2862" s="29"/>
      <c r="C2862" s="29"/>
      <c r="D2862" s="29"/>
      <c r="E2862" s="29"/>
      <c r="F2862" s="29"/>
    </row>
    <row r="2863" spans="1:6" ht="12.75">
      <c r="A2863" s="29"/>
      <c r="B2863" s="29"/>
      <c r="C2863" s="29"/>
      <c r="D2863" s="29"/>
      <c r="E2863" s="29"/>
      <c r="F2863" s="29"/>
    </row>
    <row r="2864" spans="1:6" ht="12.75">
      <c r="A2864" s="29"/>
      <c r="B2864" s="29"/>
      <c r="C2864" s="29"/>
      <c r="D2864" s="29"/>
      <c r="E2864" s="29"/>
      <c r="F2864" s="29"/>
    </row>
    <row r="2865" spans="1:6" ht="12.75">
      <c r="A2865" s="29"/>
      <c r="B2865" s="29"/>
      <c r="C2865" s="29"/>
      <c r="D2865" s="29"/>
      <c r="E2865" s="29"/>
      <c r="F2865" s="29"/>
    </row>
    <row r="2866" spans="1:6" ht="12.75">
      <c r="A2866" s="29"/>
      <c r="B2866" s="29"/>
      <c r="C2866" s="29"/>
      <c r="D2866" s="29"/>
      <c r="E2866" s="29"/>
      <c r="F2866" s="29"/>
    </row>
    <row r="2867" spans="1:6" ht="12.75">
      <c r="A2867" s="29"/>
      <c r="B2867" s="29"/>
      <c r="C2867" s="29"/>
      <c r="D2867" s="29"/>
      <c r="E2867" s="29"/>
      <c r="F2867" s="29"/>
    </row>
    <row r="2868" spans="1:6" ht="12.75">
      <c r="A2868" s="29"/>
      <c r="B2868" s="29"/>
      <c r="C2868" s="29"/>
      <c r="D2868" s="29"/>
      <c r="E2868" s="29"/>
      <c r="F2868" s="29"/>
    </row>
    <row r="2869" spans="1:6" ht="12.75">
      <c r="A2869" s="29"/>
      <c r="B2869" s="29"/>
      <c r="C2869" s="29"/>
      <c r="D2869" s="29"/>
      <c r="E2869" s="29"/>
      <c r="F2869" s="29"/>
    </row>
    <row r="2870" spans="1:6" ht="12.75">
      <c r="A2870" s="29"/>
      <c r="B2870" s="29"/>
      <c r="C2870" s="29"/>
      <c r="D2870" s="29"/>
      <c r="E2870" s="29"/>
      <c r="F2870" s="29"/>
    </row>
    <row r="2871" spans="1:6" ht="12.75">
      <c r="A2871" s="29"/>
      <c r="B2871" s="29"/>
      <c r="C2871" s="29"/>
      <c r="D2871" s="29"/>
      <c r="E2871" s="29"/>
      <c r="F2871" s="29"/>
    </row>
    <row r="2872" spans="1:6" ht="12.75">
      <c r="A2872" s="29"/>
      <c r="B2872" s="29"/>
      <c r="C2872" s="29"/>
      <c r="D2872" s="29"/>
      <c r="E2872" s="29"/>
      <c r="F2872" s="29"/>
    </row>
    <row r="2873" spans="1:6" ht="12.75">
      <c r="A2873" s="29"/>
      <c r="B2873" s="29"/>
      <c r="C2873" s="29"/>
      <c r="D2873" s="29"/>
      <c r="E2873" s="29"/>
      <c r="F2873" s="29"/>
    </row>
    <row r="2874" spans="1:6" ht="12.75">
      <c r="A2874" s="29"/>
      <c r="B2874" s="29"/>
      <c r="C2874" s="29"/>
      <c r="D2874" s="29"/>
      <c r="E2874" s="29"/>
      <c r="F2874" s="29"/>
    </row>
    <row r="2875" spans="1:6" ht="12.75">
      <c r="A2875" s="29"/>
      <c r="B2875" s="29"/>
      <c r="C2875" s="29"/>
      <c r="D2875" s="29"/>
      <c r="E2875" s="29"/>
      <c r="F2875" s="29"/>
    </row>
    <row r="2876" spans="1:6" ht="12.75">
      <c r="A2876" s="29"/>
      <c r="B2876" s="29"/>
      <c r="C2876" s="29"/>
      <c r="D2876" s="29"/>
      <c r="E2876" s="29"/>
      <c r="F2876" s="29"/>
    </row>
    <row r="2877" spans="1:6" ht="12" customHeight="1">
      <c r="A2877" s="29"/>
      <c r="B2877" s="29"/>
      <c r="C2877" s="29"/>
      <c r="D2877" s="29"/>
      <c r="E2877" s="29"/>
      <c r="F2877" s="29"/>
    </row>
    <row r="2878" spans="1:6" ht="12.75" hidden="1">
      <c r="A2878" s="29"/>
      <c r="B2878" s="29"/>
      <c r="C2878" s="29"/>
      <c r="D2878" s="29"/>
      <c r="E2878" s="29"/>
      <c r="F2878" s="29"/>
    </row>
    <row r="2879" spans="1:6" ht="12.75">
      <c r="A2879" s="120" t="s">
        <v>35</v>
      </c>
      <c r="B2879" s="120"/>
      <c r="C2879" s="29"/>
      <c r="D2879" s="29"/>
      <c r="E2879" s="29"/>
      <c r="F2879" s="29"/>
    </row>
    <row r="2880" spans="1:6" ht="12.75">
      <c r="A2880" s="29" t="s">
        <v>43</v>
      </c>
      <c r="B2880" s="29"/>
      <c r="C2880" s="29"/>
      <c r="D2880" s="29"/>
      <c r="E2880" s="29"/>
      <c r="F2880" s="29"/>
    </row>
    <row r="2881" spans="1:6" ht="12.75">
      <c r="A2881" s="29" t="s">
        <v>224</v>
      </c>
      <c r="B2881" s="29"/>
      <c r="C2881" s="29"/>
      <c r="D2881" s="29"/>
      <c r="E2881" s="29"/>
      <c r="F2881" s="29"/>
    </row>
    <row r="2882" spans="1:6" ht="12.75">
      <c r="A2882" s="29" t="s">
        <v>151</v>
      </c>
      <c r="B2882" s="29"/>
      <c r="C2882" s="29"/>
      <c r="D2882" s="29"/>
      <c r="E2882" s="29" t="s">
        <v>340</v>
      </c>
      <c r="F2882" s="29"/>
    </row>
    <row r="2883" spans="1:6" ht="12.75">
      <c r="A2883" s="10" t="s">
        <v>1</v>
      </c>
      <c r="B2883" s="10" t="s">
        <v>11</v>
      </c>
      <c r="C2883" s="10" t="s">
        <v>86</v>
      </c>
      <c r="D2883" s="10" t="s">
        <v>87</v>
      </c>
      <c r="E2883" s="10" t="s">
        <v>120</v>
      </c>
      <c r="F2883" s="10" t="s">
        <v>141</v>
      </c>
    </row>
    <row r="2884" spans="1:6" ht="12.75">
      <c r="A2884" s="22" t="s">
        <v>6</v>
      </c>
      <c r="B2884" s="22"/>
      <c r="C2884" s="10"/>
      <c r="D2884" s="5"/>
      <c r="E2884" s="5"/>
      <c r="F2884" s="5"/>
    </row>
    <row r="2885" spans="1:6" ht="12.75">
      <c r="A2885" s="5" t="s">
        <v>2</v>
      </c>
      <c r="B2885" s="5"/>
      <c r="C2885" s="10">
        <v>5</v>
      </c>
      <c r="D2885" s="5"/>
      <c r="E2885" s="5"/>
      <c r="F2885" s="5"/>
    </row>
    <row r="2886" spans="1:6" ht="12.75">
      <c r="A2886" s="5" t="s">
        <v>3</v>
      </c>
      <c r="B2886" s="5"/>
      <c r="C2886" s="10">
        <v>1</v>
      </c>
      <c r="D2886" s="5"/>
      <c r="E2886" s="5"/>
      <c r="F2886" s="5"/>
    </row>
    <row r="2887" spans="1:6" ht="12.75">
      <c r="A2887" s="5" t="s">
        <v>4</v>
      </c>
      <c r="B2887" s="5"/>
      <c r="C2887" s="10"/>
      <c r="D2887" s="5"/>
      <c r="E2887" s="5"/>
      <c r="F2887" s="5"/>
    </row>
    <row r="2888" spans="1:6" ht="12.75">
      <c r="A2888" s="5" t="s">
        <v>5</v>
      </c>
      <c r="B2888" s="5"/>
      <c r="C2888" s="10">
        <v>1443.12</v>
      </c>
      <c r="D2888" s="5"/>
      <c r="E2888" s="5"/>
      <c r="F2888" s="5"/>
    </row>
    <row r="2889" spans="1:6" ht="22.5">
      <c r="A2889" s="150" t="s">
        <v>7</v>
      </c>
      <c r="B2889" s="150"/>
      <c r="C2889" s="5" t="s">
        <v>36</v>
      </c>
      <c r="D2889" s="5"/>
      <c r="E2889" s="5"/>
      <c r="F2889" s="5"/>
    </row>
    <row r="2890" spans="1:6" ht="22.5">
      <c r="A2890" s="151" t="s">
        <v>8</v>
      </c>
      <c r="B2890" s="152">
        <f>C2890+D2890+E2890+F2890</f>
        <v>108779.7</v>
      </c>
      <c r="C2890" s="10">
        <v>29882.63</v>
      </c>
      <c r="D2890" s="10">
        <v>36879.62</v>
      </c>
      <c r="E2890" s="10">
        <v>38962.99</v>
      </c>
      <c r="F2890" s="10">
        <v>3054.46</v>
      </c>
    </row>
    <row r="2891" spans="1:6" ht="22.5">
      <c r="A2891" s="153" t="s">
        <v>9</v>
      </c>
      <c r="B2891" s="152">
        <f>C2891+D2891+E2891+F2891</f>
        <v>0</v>
      </c>
      <c r="C2891" s="10"/>
      <c r="D2891" s="10"/>
      <c r="E2891" s="10"/>
      <c r="F2891" s="10">
        <v>0</v>
      </c>
    </row>
    <row r="2892" spans="1:6" ht="12.75">
      <c r="A2892" s="5" t="s">
        <v>11</v>
      </c>
      <c r="B2892" s="152">
        <f>C2892+D2892+E2892+F2892</f>
        <v>108779.7</v>
      </c>
      <c r="C2892" s="22">
        <f>C2890</f>
        <v>29882.63</v>
      </c>
      <c r="D2892" s="22">
        <f>D2890</f>
        <v>36879.62</v>
      </c>
      <c r="E2892" s="10">
        <f>E2890</f>
        <v>38962.99</v>
      </c>
      <c r="F2892" s="10">
        <f>SUM(F2890:F2891)</f>
        <v>3054.46</v>
      </c>
    </row>
    <row r="2893" spans="1:6" ht="22.5">
      <c r="A2893" s="150" t="s">
        <v>12</v>
      </c>
      <c r="B2893" s="154"/>
      <c r="C2893" s="5"/>
      <c r="D2893" s="5"/>
      <c r="E2893" s="5"/>
      <c r="F2893" s="5"/>
    </row>
    <row r="2894" spans="1:6" ht="12.75">
      <c r="A2894" s="156" t="s">
        <v>13</v>
      </c>
      <c r="B2894" s="166">
        <f>C2894+D2894+E2894+F2894</f>
        <v>34325.955303999996</v>
      </c>
      <c r="C2894" s="157">
        <f>7.5947*C2888</f>
        <v>10960.063463999999</v>
      </c>
      <c r="D2894" s="12">
        <f>7.632*C2888</f>
        <v>11013.891839999998</v>
      </c>
      <c r="E2894" s="12">
        <v>12352</v>
      </c>
      <c r="F2894" s="157"/>
    </row>
    <row r="2895" spans="1:6" ht="21.75">
      <c r="A2895" s="156" t="s">
        <v>14</v>
      </c>
      <c r="B2895" s="154">
        <f aca="true" t="shared" si="47" ref="B2895:B2934">C2895+D2895+E2895+F2895</f>
        <v>0</v>
      </c>
      <c r="C2895" s="12"/>
      <c r="D2895" s="30"/>
      <c r="E2895" s="12"/>
      <c r="F2895" s="12"/>
    </row>
    <row r="2896" spans="1:6" ht="12.75">
      <c r="A2896" s="153" t="s">
        <v>15</v>
      </c>
      <c r="B2896" s="154">
        <f t="shared" si="47"/>
        <v>65571.09</v>
      </c>
      <c r="C2896" s="12">
        <f>C2897+C2899+C2900+C2901+C2902</f>
        <v>23273</v>
      </c>
      <c r="D2896" s="30">
        <f>D2897+D2899</f>
        <v>23501.09</v>
      </c>
      <c r="E2896" s="12">
        <f>E2897+E2899+E2900+E2901+E2902</f>
        <v>18797</v>
      </c>
      <c r="F2896" s="12"/>
    </row>
    <row r="2897" spans="1:6" ht="12.75">
      <c r="A2897" s="158" t="s">
        <v>16</v>
      </c>
      <c r="B2897" s="154">
        <f t="shared" si="47"/>
        <v>63069</v>
      </c>
      <c r="C2897" s="165">
        <v>23273</v>
      </c>
      <c r="D2897" s="12">
        <v>23298</v>
      </c>
      <c r="E2897" s="12">
        <v>16498</v>
      </c>
      <c r="F2897" s="12"/>
    </row>
    <row r="2898" spans="1:6" ht="12.75">
      <c r="A2898" s="153" t="s">
        <v>33</v>
      </c>
      <c r="B2898" s="154">
        <f t="shared" si="47"/>
        <v>51475.619999999995</v>
      </c>
      <c r="C2898" s="165">
        <v>18534.62</v>
      </c>
      <c r="D2898" s="12">
        <v>19765</v>
      </c>
      <c r="E2898" s="12">
        <v>13176</v>
      </c>
      <c r="F2898" s="12"/>
    </row>
    <row r="2899" spans="1:6" ht="12.75">
      <c r="A2899" s="153" t="s">
        <v>24</v>
      </c>
      <c r="B2899" s="154">
        <f t="shared" si="47"/>
        <v>411.09000000000003</v>
      </c>
      <c r="C2899" s="12"/>
      <c r="D2899" s="12">
        <v>203.09</v>
      </c>
      <c r="E2899" s="12">
        <v>208</v>
      </c>
      <c r="F2899" s="12"/>
    </row>
    <row r="2900" spans="1:6" ht="12.75">
      <c r="A2900" s="153" t="s">
        <v>17</v>
      </c>
      <c r="B2900" s="154">
        <f t="shared" si="47"/>
        <v>0</v>
      </c>
      <c r="C2900" s="12"/>
      <c r="D2900" s="30"/>
      <c r="E2900" s="12"/>
      <c r="F2900" s="12"/>
    </row>
    <row r="2901" spans="1:6" ht="12.75">
      <c r="A2901" s="153" t="s">
        <v>40</v>
      </c>
      <c r="B2901" s="154">
        <f t="shared" si="47"/>
        <v>0</v>
      </c>
      <c r="C2901" s="12"/>
      <c r="D2901" s="30"/>
      <c r="E2901" s="12"/>
      <c r="F2901" s="12"/>
    </row>
    <row r="2902" spans="1:6" ht="12.75">
      <c r="A2902" s="153" t="s">
        <v>445</v>
      </c>
      <c r="B2902" s="154">
        <f t="shared" si="47"/>
        <v>2091</v>
      </c>
      <c r="C2902" s="12"/>
      <c r="D2902" s="30"/>
      <c r="E2902" s="12">
        <v>2091</v>
      </c>
      <c r="F2902" s="12"/>
    </row>
    <row r="2903" spans="1:6" ht="12.75">
      <c r="A2903" s="155" t="s">
        <v>11</v>
      </c>
      <c r="B2903" s="154">
        <f t="shared" si="47"/>
        <v>99615.063464</v>
      </c>
      <c r="C2903" s="157">
        <f>C2894+C2896</f>
        <v>34233.063464</v>
      </c>
      <c r="D2903" s="157">
        <v>34233</v>
      </c>
      <c r="E2903" s="157">
        <f>E2894+E2896</f>
        <v>31149</v>
      </c>
      <c r="F2903" s="12"/>
    </row>
    <row r="2904" spans="1:6" ht="21.75">
      <c r="A2904" s="159" t="s">
        <v>18</v>
      </c>
      <c r="B2904" s="154">
        <f t="shared" si="47"/>
        <v>0</v>
      </c>
      <c r="C2904" s="12"/>
      <c r="D2904" s="30"/>
      <c r="E2904" s="12"/>
      <c r="F2904" s="12"/>
    </row>
    <row r="2905" spans="1:6" ht="12.75">
      <c r="A2905" s="153" t="s">
        <v>23</v>
      </c>
      <c r="B2905" s="154">
        <f t="shared" si="47"/>
        <v>22777.435144</v>
      </c>
      <c r="C2905" s="165">
        <f>5.3352*C2888</f>
        <v>7699.333824</v>
      </c>
      <c r="D2905" s="12">
        <f>6.1735*C2888</f>
        <v>8909.10132</v>
      </c>
      <c r="E2905" s="12">
        <v>6169</v>
      </c>
      <c r="F2905" s="12"/>
    </row>
    <row r="2906" spans="1:6" ht="12.75">
      <c r="A2906" s="153" t="s">
        <v>450</v>
      </c>
      <c r="B2906" s="154">
        <f t="shared" si="47"/>
        <v>25000</v>
      </c>
      <c r="C2906" s="12"/>
      <c r="D2906" s="30"/>
      <c r="E2906" s="12">
        <v>25000</v>
      </c>
      <c r="F2906" s="12"/>
    </row>
    <row r="2907" spans="1:6" ht="12.75">
      <c r="A2907" s="153" t="s">
        <v>372</v>
      </c>
      <c r="B2907" s="154">
        <f t="shared" si="47"/>
        <v>0</v>
      </c>
      <c r="C2907" s="12"/>
      <c r="D2907" s="30"/>
      <c r="E2907" s="12"/>
      <c r="F2907" s="12"/>
    </row>
    <row r="2908" spans="1:6" ht="12.75">
      <c r="A2908" s="153" t="s">
        <v>30</v>
      </c>
      <c r="B2908" s="154">
        <f t="shared" si="47"/>
        <v>5300</v>
      </c>
      <c r="C2908" s="12"/>
      <c r="D2908" s="12">
        <v>5300</v>
      </c>
      <c r="E2908" s="12"/>
      <c r="F2908" s="12"/>
    </row>
    <row r="2909" spans="1:6" ht="12.75">
      <c r="A2909" s="153" t="s">
        <v>28</v>
      </c>
      <c r="B2909" s="154">
        <f t="shared" si="47"/>
        <v>0</v>
      </c>
      <c r="C2909" s="12"/>
      <c r="D2909" s="30"/>
      <c r="E2909" s="12"/>
      <c r="F2909" s="12"/>
    </row>
    <row r="2910" spans="1:6" ht="12.75">
      <c r="A2910" s="153" t="s">
        <v>41</v>
      </c>
      <c r="B2910" s="154">
        <f t="shared" si="47"/>
        <v>0</v>
      </c>
      <c r="C2910" s="12"/>
      <c r="D2910" s="30"/>
      <c r="E2910" s="12"/>
      <c r="F2910" s="12"/>
    </row>
    <row r="2911" spans="1:6" ht="12.75">
      <c r="A2911" s="153" t="s">
        <v>50</v>
      </c>
      <c r="B2911" s="154">
        <f t="shared" si="47"/>
        <v>0</v>
      </c>
      <c r="C2911" s="12"/>
      <c r="D2911" s="30"/>
      <c r="E2911" s="12"/>
      <c r="F2911" s="12"/>
    </row>
    <row r="2912" spans="1:6" ht="12.75">
      <c r="A2912" s="153" t="s">
        <v>52</v>
      </c>
      <c r="B2912" s="154">
        <f t="shared" si="47"/>
        <v>0</v>
      </c>
      <c r="C2912" s="12"/>
      <c r="D2912" s="30"/>
      <c r="E2912" s="12"/>
      <c r="F2912" s="12"/>
    </row>
    <row r="2913" spans="1:6" ht="22.5">
      <c r="A2913" s="153" t="s">
        <v>225</v>
      </c>
      <c r="B2913" s="154">
        <f t="shared" si="47"/>
        <v>0</v>
      </c>
      <c r="C2913" s="12"/>
      <c r="D2913" s="30"/>
      <c r="E2913" s="12"/>
      <c r="F2913" s="12"/>
    </row>
    <row r="2914" spans="1:6" ht="12.75">
      <c r="A2914" s="153" t="s">
        <v>27</v>
      </c>
      <c r="B2914" s="154">
        <f t="shared" si="47"/>
        <v>0</v>
      </c>
      <c r="C2914" s="12"/>
      <c r="D2914" s="30"/>
      <c r="E2914" s="12"/>
      <c r="F2914" s="12"/>
    </row>
    <row r="2915" spans="1:6" ht="12.75">
      <c r="A2915" s="153" t="s">
        <v>46</v>
      </c>
      <c r="B2915" s="154">
        <f t="shared" si="47"/>
        <v>0</v>
      </c>
      <c r="C2915" s="12"/>
      <c r="D2915" s="30"/>
      <c r="E2915" s="12"/>
      <c r="F2915" s="12"/>
    </row>
    <row r="2916" spans="1:6" ht="12.75">
      <c r="A2916" s="153" t="s">
        <v>47</v>
      </c>
      <c r="B2916" s="154">
        <f t="shared" si="47"/>
        <v>0</v>
      </c>
      <c r="C2916" s="12"/>
      <c r="D2916" s="30"/>
      <c r="E2916" s="12"/>
      <c r="F2916" s="12"/>
    </row>
    <row r="2917" spans="1:6" ht="12.75">
      <c r="A2917" s="153" t="s">
        <v>82</v>
      </c>
      <c r="B2917" s="154">
        <f t="shared" si="47"/>
        <v>0</v>
      </c>
      <c r="C2917" s="12"/>
      <c r="D2917" s="30"/>
      <c r="E2917" s="12"/>
      <c r="F2917" s="12"/>
    </row>
    <row r="2918" spans="1:6" ht="12.75">
      <c r="A2918" s="153" t="s">
        <v>48</v>
      </c>
      <c r="B2918" s="154">
        <f t="shared" si="47"/>
        <v>0</v>
      </c>
      <c r="C2918" s="12"/>
      <c r="D2918" s="30"/>
      <c r="E2918" s="12"/>
      <c r="F2918" s="12"/>
    </row>
    <row r="2919" spans="1:6" ht="12.75">
      <c r="A2919" s="153" t="s">
        <v>72</v>
      </c>
      <c r="B2919" s="154">
        <f t="shared" si="47"/>
        <v>0</v>
      </c>
      <c r="C2919" s="12"/>
      <c r="D2919" s="30"/>
      <c r="E2919" s="12"/>
      <c r="F2919" s="12"/>
    </row>
    <row r="2920" spans="1:6" ht="12.75">
      <c r="A2920" s="153" t="s">
        <v>79</v>
      </c>
      <c r="B2920" s="154">
        <f t="shared" si="47"/>
        <v>0</v>
      </c>
      <c r="C2920" s="12"/>
      <c r="D2920" s="30"/>
      <c r="E2920" s="12"/>
      <c r="F2920" s="12"/>
    </row>
    <row r="2921" spans="1:6" ht="12.75">
      <c r="A2921" s="153" t="s">
        <v>55</v>
      </c>
      <c r="B2921" s="154">
        <f t="shared" si="47"/>
        <v>0</v>
      </c>
      <c r="C2921" s="12"/>
      <c r="D2921" s="30"/>
      <c r="E2921" s="12"/>
      <c r="F2921" s="12"/>
    </row>
    <row r="2922" spans="1:6" ht="12.75">
      <c r="A2922" s="153" t="s">
        <v>57</v>
      </c>
      <c r="B2922" s="154">
        <f t="shared" si="47"/>
        <v>0</v>
      </c>
      <c r="C2922" s="12"/>
      <c r="D2922" s="30"/>
      <c r="E2922" s="12"/>
      <c r="F2922" s="12"/>
    </row>
    <row r="2923" spans="1:6" ht="12.75">
      <c r="A2923" s="153" t="s">
        <v>67</v>
      </c>
      <c r="B2923" s="154">
        <f t="shared" si="47"/>
        <v>0</v>
      </c>
      <c r="C2923" s="12"/>
      <c r="D2923" s="30"/>
      <c r="E2923" s="12"/>
      <c r="F2923" s="12"/>
    </row>
    <row r="2924" spans="1:6" ht="12.75">
      <c r="A2924" s="155" t="s">
        <v>11</v>
      </c>
      <c r="B2924" s="154">
        <f t="shared" si="47"/>
        <v>53077.435144</v>
      </c>
      <c r="C2924" s="157">
        <f>SUM(C2905:C2923)</f>
        <v>7699.333824</v>
      </c>
      <c r="D2924" s="157">
        <f>SUM(D2905:D2923)</f>
        <v>14209.10132</v>
      </c>
      <c r="E2924" s="12">
        <f>SUM(E2905:E2923)</f>
        <v>31169</v>
      </c>
      <c r="F2924" s="12"/>
    </row>
    <row r="2925" spans="1:6" ht="12.75">
      <c r="A2925" s="155" t="s">
        <v>19</v>
      </c>
      <c r="B2925" s="154">
        <f t="shared" si="47"/>
        <v>0</v>
      </c>
      <c r="C2925" s="12"/>
      <c r="D2925" s="30"/>
      <c r="E2925" s="12"/>
      <c r="F2925" s="12"/>
    </row>
    <row r="2926" spans="1:6" ht="12.75">
      <c r="A2926" s="153" t="s">
        <v>38</v>
      </c>
      <c r="B2926" s="154">
        <f t="shared" si="47"/>
        <v>780.1766481599999</v>
      </c>
      <c r="C2926" s="12">
        <f>0.218666*C2888</f>
        <v>315.56127791999995</v>
      </c>
      <c r="D2926" s="12">
        <f>0.210458*C2888</f>
        <v>303.71614896</v>
      </c>
      <c r="E2926" s="12">
        <f>0.111494*C2888</f>
        <v>160.89922127999998</v>
      </c>
      <c r="F2926" s="12"/>
    </row>
    <row r="2927" spans="1:6" ht="12.75">
      <c r="A2927" s="153" t="s">
        <v>39</v>
      </c>
      <c r="B2927" s="154">
        <f t="shared" si="47"/>
        <v>1064.033156928</v>
      </c>
      <c r="C2927" s="12">
        <f>0.306583*C2888</f>
        <v>442.43605895999997</v>
      </c>
      <c r="D2927" s="12">
        <f>0.0733554*C2888</f>
        <v>105.86064484799999</v>
      </c>
      <c r="E2927" s="12">
        <f>0.357376*C2888</f>
        <v>515.73645312</v>
      </c>
      <c r="F2927" s="12"/>
    </row>
    <row r="2928" spans="1:6" ht="12.75">
      <c r="A2928" s="153" t="s">
        <v>32</v>
      </c>
      <c r="B2928" s="154">
        <f t="shared" si="47"/>
        <v>0</v>
      </c>
      <c r="C2928" s="12"/>
      <c r="D2928" s="12"/>
      <c r="E2928" s="12"/>
      <c r="F2928" s="12"/>
    </row>
    <row r="2929" spans="1:6" ht="12.75">
      <c r="A2929" s="153" t="s">
        <v>37</v>
      </c>
      <c r="B2929" s="154">
        <f t="shared" si="47"/>
        <v>2087.741211696</v>
      </c>
      <c r="C2929" s="12">
        <f>0.70476*C2888</f>
        <v>1017.0532512</v>
      </c>
      <c r="D2929" s="12">
        <f>0.3731258*C2888</f>
        <v>538.4653044959999</v>
      </c>
      <c r="E2929" s="12">
        <f>0.3688*C2888</f>
        <v>532.222656</v>
      </c>
      <c r="F2929" s="12"/>
    </row>
    <row r="2930" spans="1:6" ht="12.75">
      <c r="A2930" s="153" t="s">
        <v>20</v>
      </c>
      <c r="B2930" s="154">
        <f t="shared" si="47"/>
        <v>1101.14673984</v>
      </c>
      <c r="C2930" s="12"/>
      <c r="D2930" s="12">
        <f>0.158142*C2888</f>
        <v>228.21788304</v>
      </c>
      <c r="E2930" s="12">
        <f>0.60489*C2888</f>
        <v>872.9288568</v>
      </c>
      <c r="F2930" s="12"/>
    </row>
    <row r="2931" spans="1:6" ht="12.75">
      <c r="A2931" s="153" t="s">
        <v>73</v>
      </c>
      <c r="B2931" s="154">
        <f t="shared" si="47"/>
        <v>0</v>
      </c>
      <c r="C2931" s="12"/>
      <c r="D2931" s="12"/>
      <c r="E2931" s="12"/>
      <c r="F2931" s="12"/>
    </row>
    <row r="2932" spans="1:6" ht="12.75">
      <c r="A2932" s="156" t="s">
        <v>11</v>
      </c>
      <c r="B2932" s="154">
        <f t="shared" si="47"/>
        <v>5033.097756624</v>
      </c>
      <c r="C2932" s="157">
        <f>SUM(C2926:C2931)</f>
        <v>1775.05058808</v>
      </c>
      <c r="D2932" s="157">
        <f>SUM(D2926:D2931)</f>
        <v>1176.259981344</v>
      </c>
      <c r="E2932" s="12">
        <f>SUM(E2926:E2931)</f>
        <v>2081.7871871999996</v>
      </c>
      <c r="F2932" s="12"/>
    </row>
    <row r="2933" spans="1:6" ht="12.75">
      <c r="A2933" s="153" t="s">
        <v>101</v>
      </c>
      <c r="B2933" s="154">
        <f t="shared" si="47"/>
        <v>271.6751984</v>
      </c>
      <c r="C2933" s="157">
        <f>0.0644*C2888</f>
        <v>92.936928</v>
      </c>
      <c r="D2933" s="157">
        <v>80</v>
      </c>
      <c r="E2933" s="12">
        <f>0.06842*C2888</f>
        <v>98.73827039999999</v>
      </c>
      <c r="F2933" s="12"/>
    </row>
    <row r="2934" spans="1:6" ht="33.75">
      <c r="A2934" s="161" t="s">
        <v>21</v>
      </c>
      <c r="B2934" s="154">
        <f t="shared" si="47"/>
        <v>157997.271563024</v>
      </c>
      <c r="C2934" s="157">
        <f>C2903+C2924+C2932+C2933</f>
        <v>43800.38480408</v>
      </c>
      <c r="D2934" s="157">
        <f>D2903+D2924+D2932+D2933</f>
        <v>49698.361301344004</v>
      </c>
      <c r="E2934" s="12">
        <f>E2903+E2924+E2932+E2933</f>
        <v>64498.52545759999</v>
      </c>
      <c r="F2934" s="12"/>
    </row>
    <row r="2935" spans="1:6" ht="45">
      <c r="A2935" s="161" t="s">
        <v>22</v>
      </c>
      <c r="B2935" s="168">
        <f>B2934/8/C2888</f>
        <v>13.685389257565554</v>
      </c>
      <c r="C2935" s="14">
        <f>C2934/C2888/3</f>
        <v>10.117057672284126</v>
      </c>
      <c r="D2935" s="14">
        <f>D2934/3/C2888</f>
        <v>11.479378314888116</v>
      </c>
      <c r="E2935" s="13">
        <f>E2934/2/C2888</f>
        <v>22.34690304950385</v>
      </c>
      <c r="F2935" s="13"/>
    </row>
    <row r="2936" spans="1:6" ht="12.75">
      <c r="A2936" s="163" t="s">
        <v>34</v>
      </c>
      <c r="B2936" s="154">
        <f>B2892-B2934</f>
        <v>-49217.571563024</v>
      </c>
      <c r="C2936" s="165">
        <f>C2892-C2934</f>
        <v>-13917.75480408</v>
      </c>
      <c r="D2936" s="12">
        <f>D2892-D2934-13918</f>
        <v>-26736.741301344002</v>
      </c>
      <c r="E2936" s="12">
        <f>E2892-E2934-26737</f>
        <v>-52272.535457599995</v>
      </c>
      <c r="F2936" s="12">
        <f>F2892-F2934</f>
        <v>3054.46</v>
      </c>
    </row>
    <row r="2937" spans="1:6" ht="12.75">
      <c r="A2937" s="29" t="s">
        <v>44</v>
      </c>
      <c r="B2937" s="29"/>
      <c r="C2937" s="29"/>
      <c r="D2937" s="29"/>
      <c r="E2937" s="29"/>
      <c r="F2937" s="29"/>
    </row>
    <row r="2938" spans="1:6" ht="12.75">
      <c r="A2938" s="29" t="s">
        <v>45</v>
      </c>
      <c r="B2938" s="29"/>
      <c r="C2938" s="29"/>
      <c r="D2938" s="29"/>
      <c r="E2938" s="29"/>
      <c r="F2938" s="29"/>
    </row>
    <row r="2939" spans="1:6" ht="12.75">
      <c r="A2939" s="29" t="s">
        <v>579</v>
      </c>
      <c r="B2939" s="29"/>
      <c r="C2939" s="29"/>
      <c r="D2939" s="29"/>
      <c r="E2939" s="29"/>
      <c r="F2939" s="29"/>
    </row>
    <row r="2940" spans="1:6" ht="12.75">
      <c r="A2940" s="29"/>
      <c r="B2940" s="29"/>
      <c r="C2940" s="29"/>
      <c r="D2940" s="29"/>
      <c r="E2940" s="29"/>
      <c r="F2940" s="29"/>
    </row>
    <row r="2941" spans="1:6" ht="12.75">
      <c r="A2941" s="29"/>
      <c r="B2941" s="29"/>
      <c r="C2941" s="29"/>
      <c r="D2941" s="29"/>
      <c r="E2941" s="29"/>
      <c r="F2941" s="29"/>
    </row>
    <row r="2942" spans="1:6" ht="12.75">
      <c r="A2942" s="29"/>
      <c r="B2942" s="29"/>
      <c r="C2942" s="29"/>
      <c r="D2942" s="29"/>
      <c r="E2942" s="29"/>
      <c r="F2942" s="29"/>
    </row>
    <row r="2943" spans="1:6" ht="12.75">
      <c r="A2943" s="29"/>
      <c r="B2943" s="29"/>
      <c r="C2943" s="29"/>
      <c r="D2943" s="29"/>
      <c r="E2943" s="29"/>
      <c r="F2943" s="29"/>
    </row>
    <row r="2944" spans="1:6" ht="12.75">
      <c r="A2944" s="29"/>
      <c r="B2944" s="29"/>
      <c r="C2944" s="29"/>
      <c r="D2944" s="29"/>
      <c r="E2944" s="29"/>
      <c r="F2944" s="29"/>
    </row>
    <row r="2945" spans="1:6" ht="12.75">
      <c r="A2945" s="29"/>
      <c r="B2945" s="29"/>
      <c r="C2945" s="29"/>
      <c r="D2945" s="29"/>
      <c r="E2945" s="29"/>
      <c r="F2945" s="29"/>
    </row>
    <row r="2946" spans="1:6" ht="12.75">
      <c r="A2946" s="29"/>
      <c r="B2946" s="29"/>
      <c r="C2946" s="29"/>
      <c r="D2946" s="29"/>
      <c r="E2946" s="29"/>
      <c r="F2946" s="29"/>
    </row>
    <row r="2947" spans="1:6" ht="12.75">
      <c r="A2947" s="29"/>
      <c r="B2947" s="29"/>
      <c r="C2947" s="29"/>
      <c r="D2947" s="29"/>
      <c r="E2947" s="29"/>
      <c r="F2947" s="29"/>
    </row>
    <row r="2948" spans="1:6" ht="12.75">
      <c r="A2948" s="29"/>
      <c r="B2948" s="29"/>
      <c r="C2948" s="29"/>
      <c r="D2948" s="29"/>
      <c r="E2948" s="29"/>
      <c r="F2948" s="29"/>
    </row>
    <row r="2949" spans="1:6" ht="12.75">
      <c r="A2949" s="29"/>
      <c r="B2949" s="29"/>
      <c r="C2949" s="29"/>
      <c r="D2949" s="29"/>
      <c r="E2949" s="29"/>
      <c r="F2949" s="29"/>
    </row>
    <row r="2950" spans="1:6" ht="12.75">
      <c r="A2950" s="29"/>
      <c r="B2950" s="29"/>
      <c r="C2950" s="29"/>
      <c r="D2950" s="29"/>
      <c r="E2950" s="29"/>
      <c r="F2950" s="29"/>
    </row>
    <row r="2951" spans="1:6" ht="12.75">
      <c r="A2951" s="29"/>
      <c r="B2951" s="29"/>
      <c r="C2951" s="29"/>
      <c r="D2951" s="29"/>
      <c r="E2951" s="29"/>
      <c r="F2951" s="29"/>
    </row>
    <row r="2952" spans="1:6" ht="12.75">
      <c r="A2952" s="29"/>
      <c r="B2952" s="29"/>
      <c r="C2952" s="29"/>
      <c r="D2952" s="29"/>
      <c r="E2952" s="29"/>
      <c r="F2952" s="29"/>
    </row>
    <row r="2953" spans="1:6" ht="12.75">
      <c r="A2953" s="29"/>
      <c r="B2953" s="29"/>
      <c r="C2953" s="29"/>
      <c r="D2953" s="29"/>
      <c r="E2953" s="29"/>
      <c r="F2953" s="29"/>
    </row>
    <row r="2954" spans="1:6" ht="12.75">
      <c r="A2954" s="29"/>
      <c r="B2954" s="29"/>
      <c r="C2954" s="29"/>
      <c r="D2954" s="29"/>
      <c r="E2954" s="29"/>
      <c r="F2954" s="29"/>
    </row>
    <row r="2955" spans="1:6" ht="12.75">
      <c r="A2955" s="29"/>
      <c r="B2955" s="29"/>
      <c r="C2955" s="29"/>
      <c r="D2955" s="29"/>
      <c r="E2955" s="29"/>
      <c r="F2955" s="29"/>
    </row>
    <row r="2956" spans="1:6" ht="12.75">
      <c r="A2956" s="29"/>
      <c r="B2956" s="29"/>
      <c r="C2956" s="29"/>
      <c r="D2956" s="29"/>
      <c r="E2956" s="29"/>
      <c r="F2956" s="29"/>
    </row>
    <row r="2957" spans="1:6" ht="12.75">
      <c r="A2957" s="29"/>
      <c r="B2957" s="29"/>
      <c r="C2957" s="29"/>
      <c r="D2957" s="29"/>
      <c r="E2957" s="29"/>
      <c r="F2957" s="29"/>
    </row>
    <row r="2958" spans="1:6" ht="12.75">
      <c r="A2958" s="29"/>
      <c r="B2958" s="29"/>
      <c r="C2958" s="29"/>
      <c r="D2958" s="29"/>
      <c r="E2958" s="29"/>
      <c r="F2958" s="29"/>
    </row>
    <row r="2959" spans="1:6" ht="12.75">
      <c r="A2959" s="29"/>
      <c r="B2959" s="29"/>
      <c r="C2959" s="29"/>
      <c r="D2959" s="29"/>
      <c r="E2959" s="29"/>
      <c r="F2959" s="29"/>
    </row>
    <row r="2960" spans="1:6" ht="12.75">
      <c r="A2960" s="29"/>
      <c r="B2960" s="29"/>
      <c r="C2960" s="29"/>
      <c r="D2960" s="29"/>
      <c r="E2960" s="29"/>
      <c r="F2960" s="29"/>
    </row>
    <row r="2961" spans="1:6" ht="12.75">
      <c r="A2961" s="29"/>
      <c r="B2961" s="29"/>
      <c r="C2961" s="29"/>
      <c r="D2961" s="29"/>
      <c r="E2961" s="29"/>
      <c r="F2961" s="29"/>
    </row>
    <row r="2962" spans="1:6" ht="12.75">
      <c r="A2962" s="29"/>
      <c r="B2962" s="29"/>
      <c r="C2962" s="29"/>
      <c r="D2962" s="29"/>
      <c r="E2962" s="29"/>
      <c r="F2962" s="29"/>
    </row>
    <row r="2963" spans="1:6" ht="12.75">
      <c r="A2963" s="29"/>
      <c r="B2963" s="29"/>
      <c r="C2963" s="29"/>
      <c r="D2963" s="29"/>
      <c r="E2963" s="29"/>
      <c r="F2963" s="29"/>
    </row>
    <row r="2964" spans="1:6" ht="21" customHeight="1">
      <c r="A2964" s="29"/>
      <c r="B2964" s="29"/>
      <c r="C2964" s="29"/>
      <c r="D2964" s="29"/>
      <c r="E2964" s="29"/>
      <c r="F2964" s="29"/>
    </row>
    <row r="2965" spans="1:6" ht="12.75">
      <c r="A2965" s="120" t="s">
        <v>35</v>
      </c>
      <c r="B2965" s="120"/>
      <c r="C2965" s="29"/>
      <c r="D2965" s="29"/>
      <c r="E2965" s="29"/>
      <c r="F2965" s="29"/>
    </row>
    <row r="2966" spans="1:6" ht="12.75">
      <c r="A2966" s="29" t="s">
        <v>43</v>
      </c>
      <c r="B2966" s="29"/>
      <c r="C2966" s="29"/>
      <c r="D2966" s="29"/>
      <c r="E2966" s="29"/>
      <c r="F2966" s="29"/>
    </row>
    <row r="2967" spans="1:6" ht="12.75">
      <c r="A2967" s="29" t="s">
        <v>224</v>
      </c>
      <c r="B2967" s="29"/>
      <c r="C2967" s="29"/>
      <c r="D2967" s="29"/>
      <c r="E2967" s="29"/>
      <c r="F2967" s="29"/>
    </row>
    <row r="2968" spans="1:6" ht="12.75">
      <c r="A2968" s="29" t="s">
        <v>156</v>
      </c>
      <c r="B2968" s="29"/>
      <c r="C2968" s="29"/>
      <c r="D2968" s="29"/>
      <c r="E2968" s="29" t="s">
        <v>340</v>
      </c>
      <c r="F2968" s="29"/>
    </row>
    <row r="2969" spans="1:6" ht="12.75">
      <c r="A2969" s="10" t="s">
        <v>1</v>
      </c>
      <c r="B2969" s="10" t="s">
        <v>11</v>
      </c>
      <c r="C2969" s="10" t="s">
        <v>86</v>
      </c>
      <c r="D2969" s="10" t="s">
        <v>87</v>
      </c>
      <c r="E2969" s="10" t="s">
        <v>120</v>
      </c>
      <c r="F2969" s="10" t="s">
        <v>141</v>
      </c>
    </row>
    <row r="2970" spans="1:6" ht="12.75">
      <c r="A2970" s="22" t="s">
        <v>6</v>
      </c>
      <c r="B2970" s="22"/>
      <c r="C2970" s="10"/>
      <c r="D2970" s="5"/>
      <c r="E2970" s="5"/>
      <c r="F2970" s="5"/>
    </row>
    <row r="2971" spans="1:6" ht="12.75">
      <c r="A2971" s="5" t="s">
        <v>2</v>
      </c>
      <c r="B2971" s="5"/>
      <c r="C2971" s="10">
        <v>9</v>
      </c>
      <c r="D2971" s="5"/>
      <c r="E2971" s="5"/>
      <c r="F2971" s="5"/>
    </row>
    <row r="2972" spans="1:6" ht="12.75">
      <c r="A2972" s="5" t="s">
        <v>3</v>
      </c>
      <c r="B2972" s="5"/>
      <c r="C2972" s="10">
        <v>1</v>
      </c>
      <c r="D2972" s="5"/>
      <c r="E2972" s="5"/>
      <c r="F2972" s="5"/>
    </row>
    <row r="2973" spans="1:6" ht="12.75">
      <c r="A2973" s="5" t="s">
        <v>4</v>
      </c>
      <c r="B2973" s="5"/>
      <c r="C2973" s="10">
        <v>36</v>
      </c>
      <c r="D2973" s="5"/>
      <c r="E2973" s="5"/>
      <c r="F2973" s="5"/>
    </row>
    <row r="2974" spans="1:6" ht="12.75">
      <c r="A2974" s="5" t="s">
        <v>5</v>
      </c>
      <c r="B2974" s="5"/>
      <c r="C2974" s="10">
        <v>1999.99</v>
      </c>
      <c r="D2974" s="5"/>
      <c r="E2974" s="5"/>
      <c r="F2974" s="5"/>
    </row>
    <row r="2975" spans="1:6" ht="22.5">
      <c r="A2975" s="150" t="s">
        <v>7</v>
      </c>
      <c r="B2975" s="150"/>
      <c r="C2975" s="5" t="s">
        <v>36</v>
      </c>
      <c r="D2975" s="5"/>
      <c r="E2975" s="5"/>
      <c r="F2975" s="5"/>
    </row>
    <row r="2976" spans="1:6" ht="22.5">
      <c r="A2976" s="151" t="s">
        <v>8</v>
      </c>
      <c r="B2976" s="6">
        <f>C2976+D2976+E2976+F2976</f>
        <v>211741.5</v>
      </c>
      <c r="C2976" s="10">
        <v>44814.87</v>
      </c>
      <c r="D2976" s="10">
        <v>55217.34</v>
      </c>
      <c r="E2976" s="10">
        <v>58435.5</v>
      </c>
      <c r="F2976" s="10">
        <v>53273.79</v>
      </c>
    </row>
    <row r="2977" spans="1:6" ht="22.5">
      <c r="A2977" s="153" t="s">
        <v>9</v>
      </c>
      <c r="B2977" s="6">
        <f>C2977+D2977+E2977+F2977</f>
        <v>0</v>
      </c>
      <c r="C2977" s="10">
        <v>0</v>
      </c>
      <c r="D2977" s="10">
        <v>0</v>
      </c>
      <c r="E2977" s="10">
        <v>0</v>
      </c>
      <c r="F2977" s="10">
        <v>0</v>
      </c>
    </row>
    <row r="2978" spans="1:6" ht="12.75">
      <c r="A2978" s="5" t="s">
        <v>11</v>
      </c>
      <c r="B2978" s="6">
        <f>C2978+D2978+E2978+F2978</f>
        <v>211741.5</v>
      </c>
      <c r="C2978" s="22">
        <f>C2976+C2977</f>
        <v>44814.87</v>
      </c>
      <c r="D2978" s="22">
        <f>SUM(D2976:D2977)</f>
        <v>55217.34</v>
      </c>
      <c r="E2978" s="10">
        <f>SUM(E2976:E2977)</f>
        <v>58435.5</v>
      </c>
      <c r="F2978" s="10">
        <f>SUM(F2976:F2977)</f>
        <v>53273.79</v>
      </c>
    </row>
    <row r="2979" spans="1:6" ht="22.5">
      <c r="A2979" s="150" t="s">
        <v>12</v>
      </c>
      <c r="B2979" s="150"/>
      <c r="C2979" s="5"/>
      <c r="D2979" s="5"/>
      <c r="E2979" s="5"/>
      <c r="F2979" s="5"/>
    </row>
    <row r="2980" spans="1:7" ht="12.75">
      <c r="A2980" s="156" t="s">
        <v>13</v>
      </c>
      <c r="B2980" s="166">
        <f>C2980+D2980+E2980+F2980</f>
        <v>63153.62223031</v>
      </c>
      <c r="C2980" s="157">
        <f>7.5947*C2974</f>
        <v>15189.324052999998</v>
      </c>
      <c r="D2980" s="12">
        <f>7.632*C2974</f>
        <v>15263.92368</v>
      </c>
      <c r="E2980" s="12">
        <f>8.5526*C2974</f>
        <v>17105.114474</v>
      </c>
      <c r="F2980" s="157">
        <f>7.797669*C2974</f>
        <v>15595.26002331</v>
      </c>
      <c r="G2980" s="8"/>
    </row>
    <row r="2981" spans="1:6" ht="21.75">
      <c r="A2981" s="156" t="s">
        <v>14</v>
      </c>
      <c r="B2981" s="167">
        <f aca="true" t="shared" si="48" ref="B2981:B2990">C2981+D2981+E2981+F2981</f>
        <v>0</v>
      </c>
      <c r="C2981" s="12"/>
      <c r="D2981" s="12"/>
      <c r="E2981" s="12"/>
      <c r="F2981" s="12"/>
    </row>
    <row r="2982" spans="1:6" ht="12.75">
      <c r="A2982" s="153" t="s">
        <v>15</v>
      </c>
      <c r="B2982" s="167">
        <f t="shared" si="48"/>
        <v>287132.39</v>
      </c>
      <c r="C2982" s="12">
        <f>C2983+C2986</f>
        <v>71731.56</v>
      </c>
      <c r="D2982" s="12">
        <f>D2983+D2986</f>
        <v>68169.3</v>
      </c>
      <c r="E2982" s="12">
        <f>E2983+E2986+E2987+E2988+E2989</f>
        <v>74175.66</v>
      </c>
      <c r="F2982" s="12">
        <f>F2983+F2986+F2987+F2988+F2989</f>
        <v>73055.87</v>
      </c>
    </row>
    <row r="2983" spans="1:6" ht="12.75">
      <c r="A2983" s="158" t="s">
        <v>16</v>
      </c>
      <c r="B2983" s="167">
        <f t="shared" si="48"/>
        <v>285965</v>
      </c>
      <c r="C2983" s="165">
        <v>71613</v>
      </c>
      <c r="D2983" s="12">
        <v>67884</v>
      </c>
      <c r="E2983" s="12">
        <v>73805</v>
      </c>
      <c r="F2983" s="12">
        <f>72663</f>
        <v>72663</v>
      </c>
    </row>
    <row r="2984" spans="1:6" ht="12.75">
      <c r="A2984" s="153" t="s">
        <v>33</v>
      </c>
      <c r="B2984" s="167">
        <f t="shared" si="48"/>
        <v>56210</v>
      </c>
      <c r="C2984" s="165">
        <v>12590</v>
      </c>
      <c r="D2984" s="12">
        <v>13426</v>
      </c>
      <c r="E2984" s="12">
        <v>15097</v>
      </c>
      <c r="F2984" s="12">
        <v>15097</v>
      </c>
    </row>
    <row r="2985" spans="1:6" ht="12.75">
      <c r="A2985" s="153" t="s">
        <v>42</v>
      </c>
      <c r="B2985" s="167">
        <f t="shared" si="48"/>
        <v>209962</v>
      </c>
      <c r="C2985" s="59">
        <v>52456</v>
      </c>
      <c r="D2985" s="12">
        <v>52456</v>
      </c>
      <c r="E2985" s="12">
        <v>52525</v>
      </c>
      <c r="F2985" s="12">
        <v>52525</v>
      </c>
    </row>
    <row r="2986" spans="1:6" ht="12.75">
      <c r="A2986" s="153" t="s">
        <v>24</v>
      </c>
      <c r="B2986" s="167">
        <f t="shared" si="48"/>
        <v>1167.3899999999999</v>
      </c>
      <c r="C2986" s="165">
        <v>118.56</v>
      </c>
      <c r="D2986" s="12">
        <v>285.3</v>
      </c>
      <c r="E2986" s="12">
        <v>370.66</v>
      </c>
      <c r="F2986" s="12">
        <v>392.87</v>
      </c>
    </row>
    <row r="2987" spans="1:6" ht="12.75">
      <c r="A2987" s="153" t="s">
        <v>17</v>
      </c>
      <c r="B2987" s="167">
        <f t="shared" si="48"/>
        <v>0</v>
      </c>
      <c r="C2987" s="12"/>
      <c r="D2987" s="12"/>
      <c r="E2987" s="12"/>
      <c r="F2987" s="12"/>
    </row>
    <row r="2988" spans="1:6" ht="12.75">
      <c r="A2988" s="153" t="s">
        <v>40</v>
      </c>
      <c r="B2988" s="167">
        <f t="shared" si="48"/>
        <v>0</v>
      </c>
      <c r="C2988" s="12"/>
      <c r="D2988" s="12"/>
      <c r="E2988" s="12"/>
      <c r="F2988" s="12"/>
    </row>
    <row r="2989" spans="1:6" ht="12.75">
      <c r="A2989" s="153" t="s">
        <v>94</v>
      </c>
      <c r="B2989" s="167">
        <f t="shared" si="48"/>
        <v>0</v>
      </c>
      <c r="C2989" s="12"/>
      <c r="D2989" s="12"/>
      <c r="E2989" s="12"/>
      <c r="F2989" s="12"/>
    </row>
    <row r="2990" spans="1:6" ht="12.75">
      <c r="A2990" s="155" t="s">
        <v>11</v>
      </c>
      <c r="B2990" s="166">
        <f t="shared" si="48"/>
        <v>350286.01223031</v>
      </c>
      <c r="C2990" s="157">
        <f>C2980+C2982</f>
        <v>86920.884053</v>
      </c>
      <c r="D2990" s="157">
        <f>D2980+D2982</f>
        <v>83433.22368</v>
      </c>
      <c r="E2990" s="12">
        <f>E2980+E2982</f>
        <v>91280.774474</v>
      </c>
      <c r="F2990" s="12">
        <f>F2980+F2982</f>
        <v>88651.13002330999</v>
      </c>
    </row>
    <row r="2991" spans="1:6" ht="21.75">
      <c r="A2991" s="159" t="s">
        <v>18</v>
      </c>
      <c r="B2991" s="167">
        <f>F2991</f>
        <v>0</v>
      </c>
      <c r="C2991" s="12"/>
      <c r="D2991" s="12"/>
      <c r="E2991" s="12"/>
      <c r="F2991" s="12"/>
    </row>
    <row r="2992" spans="1:6" ht="12.75">
      <c r="A2992" s="153" t="s">
        <v>23</v>
      </c>
      <c r="B2992" s="167">
        <f>C2992+D2992+E2992+F2992</f>
        <v>49045.154773</v>
      </c>
      <c r="C2992" s="165">
        <f>5.3352*C2974</f>
        <v>10670.346648</v>
      </c>
      <c r="D2992" s="12">
        <f>6.1735*C2974</f>
        <v>12346.938264999999</v>
      </c>
      <c r="E2992" s="12">
        <f>6.4099*C2974</f>
        <v>12819.735901</v>
      </c>
      <c r="F2992" s="12">
        <f>6.6041*C2974</f>
        <v>13208.133959</v>
      </c>
    </row>
    <row r="2993" spans="1:6" ht="12.75">
      <c r="A2993" s="153" t="s">
        <v>100</v>
      </c>
      <c r="B2993" s="167">
        <f aca="true" t="shared" si="49" ref="B2993:B3011">C2993+D2993+E2993+F2993</f>
        <v>0</v>
      </c>
      <c r="C2993" s="12"/>
      <c r="D2993" s="12"/>
      <c r="E2993" s="12"/>
      <c r="F2993" s="12"/>
    </row>
    <row r="2994" spans="1:6" ht="12.75">
      <c r="A2994" s="153" t="s">
        <v>114</v>
      </c>
      <c r="B2994" s="167">
        <f t="shared" si="49"/>
        <v>0</v>
      </c>
      <c r="C2994" s="12"/>
      <c r="D2994" s="12"/>
      <c r="E2994" s="12"/>
      <c r="F2994" s="12"/>
    </row>
    <row r="2995" spans="1:6" ht="12.75">
      <c r="A2995" s="153" t="s">
        <v>30</v>
      </c>
      <c r="B2995" s="167">
        <f t="shared" si="49"/>
        <v>0</v>
      </c>
      <c r="C2995" s="12"/>
      <c r="D2995" s="12"/>
      <c r="E2995" s="12"/>
      <c r="F2995" s="12"/>
    </row>
    <row r="2996" spans="1:6" ht="12.75">
      <c r="A2996" s="153" t="s">
        <v>28</v>
      </c>
      <c r="B2996" s="167">
        <f t="shared" si="49"/>
        <v>0</v>
      </c>
      <c r="C2996" s="12"/>
      <c r="D2996" s="12"/>
      <c r="E2996" s="12"/>
      <c r="F2996" s="12"/>
    </row>
    <row r="2997" spans="1:6" ht="12.75">
      <c r="A2997" s="153" t="s">
        <v>41</v>
      </c>
      <c r="B2997" s="167">
        <f t="shared" si="49"/>
        <v>0</v>
      </c>
      <c r="C2997" s="12"/>
      <c r="D2997" s="12"/>
      <c r="E2997" s="12"/>
      <c r="F2997" s="12"/>
    </row>
    <row r="2998" spans="1:6" ht="12.75">
      <c r="A2998" s="153" t="s">
        <v>311</v>
      </c>
      <c r="B2998" s="167">
        <f t="shared" si="49"/>
        <v>5779</v>
      </c>
      <c r="C2998" s="12"/>
      <c r="D2998" s="12">
        <v>5779</v>
      </c>
      <c r="E2998" s="12"/>
      <c r="F2998" s="12"/>
    </row>
    <row r="2999" spans="1:6" ht="12.75">
      <c r="A2999" s="153" t="s">
        <v>52</v>
      </c>
      <c r="B2999" s="167">
        <f t="shared" si="49"/>
        <v>0</v>
      </c>
      <c r="C2999" s="12"/>
      <c r="D2999" s="12"/>
      <c r="E2999" s="12"/>
      <c r="F2999" s="12"/>
    </row>
    <row r="3000" spans="1:6" ht="22.5">
      <c r="A3000" s="153" t="s">
        <v>225</v>
      </c>
      <c r="B3000" s="167">
        <f t="shared" si="49"/>
        <v>0</v>
      </c>
      <c r="C3000" s="12"/>
      <c r="D3000" s="12"/>
      <c r="E3000" s="12"/>
      <c r="F3000" s="12"/>
    </row>
    <row r="3001" spans="1:6" ht="12.75">
      <c r="A3001" s="153" t="s">
        <v>27</v>
      </c>
      <c r="B3001" s="167">
        <f t="shared" si="49"/>
        <v>0</v>
      </c>
      <c r="C3001" s="12"/>
      <c r="D3001" s="12"/>
      <c r="E3001" s="12"/>
      <c r="F3001" s="12"/>
    </row>
    <row r="3002" spans="1:6" ht="12.75">
      <c r="A3002" s="153" t="s">
        <v>157</v>
      </c>
      <c r="B3002" s="167">
        <f t="shared" si="49"/>
        <v>0</v>
      </c>
      <c r="C3002" s="12"/>
      <c r="D3002" s="12"/>
      <c r="E3002" s="12"/>
      <c r="F3002" s="12"/>
    </row>
    <row r="3003" spans="1:6" ht="12.75">
      <c r="A3003" s="153" t="s">
        <v>47</v>
      </c>
      <c r="B3003" s="167">
        <f t="shared" si="49"/>
        <v>0</v>
      </c>
      <c r="C3003" s="12"/>
      <c r="D3003" s="12"/>
      <c r="E3003" s="12"/>
      <c r="F3003" s="12"/>
    </row>
    <row r="3004" spans="1:6" ht="12.75">
      <c r="A3004" s="153" t="s">
        <v>82</v>
      </c>
      <c r="B3004" s="167">
        <f t="shared" si="49"/>
        <v>0</v>
      </c>
      <c r="C3004" s="12"/>
      <c r="D3004" s="12"/>
      <c r="E3004" s="12"/>
      <c r="F3004" s="12"/>
    </row>
    <row r="3005" spans="1:6" ht="12.75">
      <c r="A3005" s="153" t="s">
        <v>48</v>
      </c>
      <c r="B3005" s="167">
        <f t="shared" si="49"/>
        <v>0</v>
      </c>
      <c r="C3005" s="12"/>
      <c r="D3005" s="12"/>
      <c r="E3005" s="12"/>
      <c r="F3005" s="12"/>
    </row>
    <row r="3006" spans="1:6" ht="12.75">
      <c r="A3006" s="153" t="s">
        <v>72</v>
      </c>
      <c r="B3006" s="167">
        <f t="shared" si="49"/>
        <v>0</v>
      </c>
      <c r="C3006" s="12"/>
      <c r="D3006" s="12"/>
      <c r="E3006" s="12"/>
      <c r="F3006" s="12"/>
    </row>
    <row r="3007" spans="1:6" ht="12.75">
      <c r="A3007" s="153" t="s">
        <v>242</v>
      </c>
      <c r="B3007" s="167">
        <f t="shared" si="49"/>
        <v>1000</v>
      </c>
      <c r="C3007" s="12">
        <v>1000</v>
      </c>
      <c r="D3007" s="12"/>
      <c r="E3007" s="12"/>
      <c r="F3007" s="12"/>
    </row>
    <row r="3008" spans="1:6" ht="12.75">
      <c r="A3008" s="153" t="s">
        <v>55</v>
      </c>
      <c r="B3008" s="167">
        <f t="shared" si="49"/>
        <v>0</v>
      </c>
      <c r="C3008" s="12"/>
      <c r="D3008" s="12"/>
      <c r="E3008" s="12"/>
      <c r="F3008" s="12"/>
    </row>
    <row r="3009" spans="1:6" ht="12.75">
      <c r="A3009" s="153" t="s">
        <v>57</v>
      </c>
      <c r="B3009" s="167">
        <f t="shared" si="49"/>
        <v>0</v>
      </c>
      <c r="C3009" s="12"/>
      <c r="D3009" s="12"/>
      <c r="E3009" s="12"/>
      <c r="F3009" s="12"/>
    </row>
    <row r="3010" spans="1:6" ht="12.75">
      <c r="A3010" s="153" t="s">
        <v>67</v>
      </c>
      <c r="B3010" s="167">
        <f t="shared" si="49"/>
        <v>0</v>
      </c>
      <c r="C3010" s="12"/>
      <c r="D3010" s="12"/>
      <c r="E3010" s="12"/>
      <c r="F3010" s="12"/>
    </row>
    <row r="3011" spans="1:6" ht="12.75">
      <c r="A3011" s="155" t="s">
        <v>11</v>
      </c>
      <c r="B3011" s="166">
        <f t="shared" si="49"/>
        <v>55824.154772999995</v>
      </c>
      <c r="C3011" s="157">
        <f>SUM(C2992:C3010)</f>
        <v>11670.346648</v>
      </c>
      <c r="D3011" s="157">
        <f>SUM(D2992:D3010)</f>
        <v>18125.938264999997</v>
      </c>
      <c r="E3011" s="12">
        <f>SUM(E2992:E3010)</f>
        <v>12819.735901</v>
      </c>
      <c r="F3011" s="12">
        <f>SUM(F2992:F3010)</f>
        <v>13208.133959</v>
      </c>
    </row>
    <row r="3012" spans="1:6" ht="12.75">
      <c r="A3012" s="155" t="s">
        <v>19</v>
      </c>
      <c r="B3012" s="167">
        <f>F3012</f>
        <v>0</v>
      </c>
      <c r="C3012" s="12"/>
      <c r="D3012" s="12"/>
      <c r="E3012" s="12"/>
      <c r="F3012" s="12"/>
    </row>
    <row r="3013" spans="1:6" ht="12.75">
      <c r="A3013" s="153" t="s">
        <v>38</v>
      </c>
      <c r="B3013" s="167">
        <f aca="true" t="shared" si="50" ref="B3013:B3018">C3013+D3013+E3013+F3013</f>
        <v>1681.25759367</v>
      </c>
      <c r="C3013" s="12">
        <f>0.218666*C2974</f>
        <v>437.32981334</v>
      </c>
      <c r="D3013" s="12">
        <f>0.210458*C2974</f>
        <v>420.91389542</v>
      </c>
      <c r="E3013" s="12">
        <f>0.167241*C2974</f>
        <v>334.48032759</v>
      </c>
      <c r="F3013" s="12">
        <f>0.244268*C2974</f>
        <v>488.53355732</v>
      </c>
    </row>
    <row r="3014" spans="1:6" ht="12.75">
      <c r="A3014" s="153" t="s">
        <v>39</v>
      </c>
      <c r="B3014" s="167">
        <f t="shared" si="50"/>
        <v>4654.211928824</v>
      </c>
      <c r="C3014" s="12">
        <f>0.306583*C2974</f>
        <v>613.16293417</v>
      </c>
      <c r="D3014" s="12">
        <f>0.733554*C2974</f>
        <v>1467.1006644600002</v>
      </c>
      <c r="E3014" s="12">
        <f>0.536065*C2974</f>
        <v>1072.12463935</v>
      </c>
      <c r="F3014" s="12">
        <f>0.7509156*C2974</f>
        <v>1501.823690844</v>
      </c>
    </row>
    <row r="3015" spans="1:6" ht="12.75">
      <c r="A3015" s="153" t="s">
        <v>32</v>
      </c>
      <c r="B3015" s="167">
        <f t="shared" si="50"/>
        <v>0</v>
      </c>
      <c r="C3015" s="12"/>
      <c r="D3015" s="12"/>
      <c r="E3015" s="12"/>
      <c r="F3015" s="12"/>
    </row>
    <row r="3016" spans="1:6" ht="12.75">
      <c r="A3016" s="153" t="s">
        <v>37</v>
      </c>
      <c r="B3016" s="167">
        <f t="shared" si="50"/>
        <v>4307.088064452</v>
      </c>
      <c r="C3016" s="12">
        <f>0.70476*C2974</f>
        <v>1409.5129524000001</v>
      </c>
      <c r="D3016" s="12">
        <f>0.3731258*C2974</f>
        <v>746.247868742</v>
      </c>
      <c r="E3016" s="12">
        <f>0.553205*C2974</f>
        <v>1106.4044679499998</v>
      </c>
      <c r="F3016" s="12">
        <f>0.522464*C2974</f>
        <v>1044.92277536</v>
      </c>
    </row>
    <row r="3017" spans="1:6" ht="12.75">
      <c r="A3017" s="153" t="s">
        <v>20</v>
      </c>
      <c r="B3017" s="167">
        <f t="shared" si="50"/>
        <v>1592.64803672</v>
      </c>
      <c r="C3017" s="12"/>
      <c r="D3017" s="12">
        <f>0.158142*C2974</f>
        <v>316.28241858</v>
      </c>
      <c r="E3017" s="12">
        <f>0.60489*C2974</f>
        <v>1209.7739511</v>
      </c>
      <c r="F3017" s="12">
        <f>0.033296*C2974</f>
        <v>66.59166704</v>
      </c>
    </row>
    <row r="3018" spans="1:6" ht="12.75">
      <c r="A3018" s="153" t="s">
        <v>73</v>
      </c>
      <c r="B3018" s="167">
        <f t="shared" si="50"/>
        <v>0</v>
      </c>
      <c r="C3018" s="12"/>
      <c r="D3018" s="12"/>
      <c r="E3018" s="12"/>
      <c r="F3018" s="12"/>
    </row>
    <row r="3019" spans="1:6" ht="12.75">
      <c r="A3019" s="156" t="s">
        <v>11</v>
      </c>
      <c r="B3019" s="166">
        <f>SUM(B3013:B3018)</f>
        <v>12235.205623666001</v>
      </c>
      <c r="C3019" s="157">
        <f>SUM(C3013:C3018)</f>
        <v>2460.0056999099997</v>
      </c>
      <c r="D3019" s="157">
        <f>SUM(D3013:D3018)</f>
        <v>2950.5448472020003</v>
      </c>
      <c r="E3019" s="12">
        <f>SUM(E3013:E3018)</f>
        <v>3722.7833859899997</v>
      </c>
      <c r="F3019" s="12">
        <f>SUM(F3013:F3018)</f>
        <v>3101.8716905640003</v>
      </c>
    </row>
    <row r="3020" spans="1:6" ht="12.75">
      <c r="A3020" s="153" t="s">
        <v>101</v>
      </c>
      <c r="B3020" s="167">
        <f>C3020+D3020+E3020+F3020</f>
        <v>1305.26602864</v>
      </c>
      <c r="C3020" s="157">
        <f>0.0644*C2974</f>
        <v>128.799356</v>
      </c>
      <c r="D3020" s="157">
        <v>111</v>
      </c>
      <c r="E3020" s="12">
        <f>0.10264*C2974</f>
        <v>205.2789736</v>
      </c>
      <c r="F3020" s="12">
        <f>0.430096*C2974</f>
        <v>860.18769904</v>
      </c>
    </row>
    <row r="3021" spans="1:6" ht="33.75">
      <c r="A3021" s="161" t="s">
        <v>21</v>
      </c>
      <c r="B3021" s="167">
        <f>B2990+B3011+B3019+B3020</f>
        <v>419650.63865561597</v>
      </c>
      <c r="C3021" s="157">
        <f>C2990+C3011+C3019+C3020</f>
        <v>101180.03575691002</v>
      </c>
      <c r="D3021" s="157">
        <f>D2990+D3011+D3019+D3020</f>
        <v>104620.706792202</v>
      </c>
      <c r="E3021" s="12">
        <f>E2990+E3011+E3019+E3020</f>
        <v>108028.57273459001</v>
      </c>
      <c r="F3021" s="12">
        <f>F2990+F3011+F3019+F3020</f>
        <v>105821.323371914</v>
      </c>
    </row>
    <row r="3022" spans="1:6" ht="45">
      <c r="A3022" s="161" t="s">
        <v>22</v>
      </c>
      <c r="B3022" s="168">
        <f>B3021/12/C2974</f>
        <v>17.485530704970856</v>
      </c>
      <c r="C3022" s="172">
        <f>C3021/C2974/3</f>
        <v>16.863423609936387</v>
      </c>
      <c r="D3022" s="14">
        <f>D3021/3/C2974</f>
        <v>17.436871649725248</v>
      </c>
      <c r="E3022" s="13">
        <f>E3021/3/C2974</f>
        <v>18.0048521466924</v>
      </c>
      <c r="F3022" s="13">
        <f>F3021/3/C2974</f>
        <v>17.6369754135294</v>
      </c>
    </row>
    <row r="3023" spans="1:6" ht="12.75">
      <c r="A3023" s="163" t="s">
        <v>34</v>
      </c>
      <c r="B3023" s="160">
        <f>B2978-B3021</f>
        <v>-207909.13865561597</v>
      </c>
      <c r="C3023" s="165">
        <f>C2978-C3021</f>
        <v>-56365.16575691001</v>
      </c>
      <c r="D3023" s="12">
        <f>D2978-D3021-56365</f>
        <v>-105768.36679220201</v>
      </c>
      <c r="E3023" s="12">
        <f>E2978-E3021-105768</f>
        <v>-155361.07273459</v>
      </c>
      <c r="F3023" s="12">
        <f>F2978-F3021-155361</f>
        <v>-207908.533371914</v>
      </c>
    </row>
    <row r="3024" spans="1:6" ht="12.75">
      <c r="A3024" s="29" t="s">
        <v>44</v>
      </c>
      <c r="B3024" s="29"/>
      <c r="C3024" s="29"/>
      <c r="D3024" s="29"/>
      <c r="E3024" s="29"/>
      <c r="F3024" s="29"/>
    </row>
    <row r="3025" spans="1:6" ht="12.75">
      <c r="A3025" s="29" t="s">
        <v>45</v>
      </c>
      <c r="B3025" s="29"/>
      <c r="C3025" s="29"/>
      <c r="D3025" s="29"/>
      <c r="E3025" s="29"/>
      <c r="F3025" s="29"/>
    </row>
    <row r="3026" spans="1:6" ht="12.75">
      <c r="A3026" s="29" t="s">
        <v>579</v>
      </c>
      <c r="B3026" s="29"/>
      <c r="C3026" s="29"/>
      <c r="D3026" s="29"/>
      <c r="E3026" s="29"/>
      <c r="F3026" s="29"/>
    </row>
    <row r="3027" spans="1:6" ht="12.75">
      <c r="A3027" s="138"/>
      <c r="B3027" s="138"/>
      <c r="C3027" s="138"/>
      <c r="D3027" s="138"/>
      <c r="E3027" s="138"/>
      <c r="F3027" s="138"/>
    </row>
    <row r="3028" spans="1:6" ht="12.75">
      <c r="A3028" s="138"/>
      <c r="B3028" s="138"/>
      <c r="C3028" s="138"/>
      <c r="D3028" s="138"/>
      <c r="E3028" s="138"/>
      <c r="F3028" s="138"/>
    </row>
    <row r="3029" spans="1:6" ht="12.75">
      <c r="A3029" s="138"/>
      <c r="B3029" s="138"/>
      <c r="C3029" s="138"/>
      <c r="D3029" s="138"/>
      <c r="E3029" s="138"/>
      <c r="F3029" s="138"/>
    </row>
    <row r="3030" spans="1:6" ht="12.75">
      <c r="A3030" s="138"/>
      <c r="B3030" s="138"/>
      <c r="C3030" s="138"/>
      <c r="D3030" s="138"/>
      <c r="E3030" s="138"/>
      <c r="F3030" s="138"/>
    </row>
    <row r="3031" spans="1:6" ht="12.75">
      <c r="A3031" s="138"/>
      <c r="B3031" s="138"/>
      <c r="C3031" s="138"/>
      <c r="D3031" s="138"/>
      <c r="E3031" s="138"/>
      <c r="F3031" s="138"/>
    </row>
    <row r="3032" spans="1:6" ht="12.75">
      <c r="A3032" s="138"/>
      <c r="B3032" s="138"/>
      <c r="C3032" s="138"/>
      <c r="D3032" s="138"/>
      <c r="E3032" s="138"/>
      <c r="F3032" s="138"/>
    </row>
    <row r="3033" spans="1:6" ht="12.75">
      <c r="A3033" s="138"/>
      <c r="B3033" s="138"/>
      <c r="C3033" s="138"/>
      <c r="D3033" s="138"/>
      <c r="E3033" s="138"/>
      <c r="F3033" s="138"/>
    </row>
    <row r="3034" spans="1:6" ht="12.75">
      <c r="A3034" s="138"/>
      <c r="B3034" s="138"/>
      <c r="C3034" s="138"/>
      <c r="D3034" s="138"/>
      <c r="E3034" s="138"/>
      <c r="F3034" s="138"/>
    </row>
    <row r="3035" spans="1:6" ht="12.75">
      <c r="A3035" s="138"/>
      <c r="B3035" s="138"/>
      <c r="C3035" s="138"/>
      <c r="D3035" s="138"/>
      <c r="E3035" s="138"/>
      <c r="F3035" s="138"/>
    </row>
    <row r="3036" spans="1:6" ht="12.75">
      <c r="A3036" s="138"/>
      <c r="B3036" s="138"/>
      <c r="C3036" s="138"/>
      <c r="D3036" s="138"/>
      <c r="E3036" s="138"/>
      <c r="F3036" s="138"/>
    </row>
  </sheetData>
  <printOptions/>
  <pageMargins left="0" right="0" top="0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0"/>
  <sheetViews>
    <sheetView workbookViewId="0" topLeftCell="A360">
      <selection activeCell="A337" sqref="A337:P395"/>
    </sheetView>
  </sheetViews>
  <sheetFormatPr defaultColWidth="9.00390625" defaultRowHeight="12.75"/>
  <cols>
    <col min="1" max="1" width="4.25390625" style="0" customWidth="1"/>
    <col min="2" max="2" width="14.25390625" style="0" customWidth="1"/>
    <col min="3" max="3" width="9.00390625" style="0" customWidth="1"/>
    <col min="4" max="4" width="5.75390625" style="0" customWidth="1"/>
    <col min="5" max="5" width="11.125" style="0" customWidth="1"/>
    <col min="6" max="6" width="12.75390625" style="0" customWidth="1"/>
    <col min="7" max="7" width="8.125" style="0" customWidth="1"/>
    <col min="8" max="8" width="9.25390625" style="0" bestFit="1" customWidth="1"/>
    <col min="9" max="9" width="10.375" style="0" bestFit="1" customWidth="1"/>
    <col min="10" max="12" width="9.25390625" style="0" bestFit="1" customWidth="1"/>
    <col min="13" max="13" width="6.625" style="0" customWidth="1"/>
    <col min="14" max="14" width="9.25390625" style="0" bestFit="1" customWidth="1"/>
    <col min="15" max="15" width="7.125" style="0" customWidth="1"/>
    <col min="16" max="16" width="10.125" style="0" bestFit="1" customWidth="1"/>
  </cols>
  <sheetData>
    <row r="1" spans="4:13" ht="14.25">
      <c r="D1" s="19" t="s">
        <v>222</v>
      </c>
      <c r="E1" s="19"/>
      <c r="F1" s="19"/>
      <c r="G1" s="19"/>
      <c r="H1" s="19"/>
      <c r="I1" s="19"/>
      <c r="J1" s="19"/>
      <c r="K1" s="19"/>
      <c r="L1" s="19"/>
      <c r="M1" s="19"/>
    </row>
    <row r="2" spans="7:16" ht="14.25">
      <c r="G2" s="19"/>
      <c r="H2" s="19"/>
      <c r="I2" s="19"/>
      <c r="J2" s="19" t="s">
        <v>248</v>
      </c>
      <c r="K2" s="19"/>
      <c r="L2" s="19"/>
      <c r="M2" s="19"/>
      <c r="N2" s="19"/>
      <c r="O2" s="19"/>
      <c r="P2" s="19"/>
    </row>
    <row r="3" spans="1:16" ht="26.25" customHeight="1">
      <c r="A3" s="198" t="s">
        <v>0</v>
      </c>
      <c r="B3" s="201" t="s">
        <v>167</v>
      </c>
      <c r="C3" s="23"/>
      <c r="D3" s="188" t="s">
        <v>165</v>
      </c>
      <c r="E3" s="193" t="s">
        <v>249</v>
      </c>
      <c r="F3" s="207"/>
      <c r="G3" s="208"/>
      <c r="H3" s="149" t="s">
        <v>221</v>
      </c>
      <c r="I3" s="195"/>
      <c r="J3" s="195"/>
      <c r="K3" s="195"/>
      <c r="L3" s="195"/>
      <c r="M3" s="195"/>
      <c r="N3" s="195"/>
      <c r="O3" s="197"/>
      <c r="P3" s="188" t="s">
        <v>172</v>
      </c>
    </row>
    <row r="4" spans="1:16" ht="11.25" customHeight="1">
      <c r="A4" s="205"/>
      <c r="B4" s="202"/>
      <c r="C4" s="24"/>
      <c r="D4" s="189"/>
      <c r="E4" s="201" t="s">
        <v>169</v>
      </c>
      <c r="F4" s="193" t="s">
        <v>163</v>
      </c>
      <c r="G4" s="208"/>
      <c r="H4" s="149" t="s">
        <v>166</v>
      </c>
      <c r="I4" s="195"/>
      <c r="J4" s="203"/>
      <c r="K4" s="203"/>
      <c r="L4" s="203"/>
      <c r="M4" s="203"/>
      <c r="N4" s="203"/>
      <c r="O4" s="204"/>
      <c r="P4" s="189"/>
    </row>
    <row r="5" spans="1:16" ht="78.75">
      <c r="A5" s="206"/>
      <c r="B5" s="170"/>
      <c r="C5" s="18"/>
      <c r="D5" s="190"/>
      <c r="E5" s="170"/>
      <c r="F5" s="6" t="s">
        <v>164</v>
      </c>
      <c r="G5" s="6" t="s">
        <v>220</v>
      </c>
      <c r="H5" s="6" t="s">
        <v>158</v>
      </c>
      <c r="I5" s="6" t="s">
        <v>159</v>
      </c>
      <c r="J5" s="18" t="s">
        <v>168</v>
      </c>
      <c r="K5" s="6" t="s">
        <v>160</v>
      </c>
      <c r="L5" s="6" t="s">
        <v>161</v>
      </c>
      <c r="M5" s="10" t="s">
        <v>162</v>
      </c>
      <c r="N5" s="6" t="s">
        <v>170</v>
      </c>
      <c r="O5" s="6" t="s">
        <v>171</v>
      </c>
      <c r="P5" s="148"/>
    </row>
    <row r="6" spans="1:16" ht="12.75">
      <c r="A6" s="10">
        <v>1</v>
      </c>
      <c r="B6" s="10">
        <v>2</v>
      </c>
      <c r="C6" s="10"/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</row>
    <row r="7" spans="1:16" ht="12.75">
      <c r="A7" s="2">
        <v>1</v>
      </c>
      <c r="B7" s="1" t="s">
        <v>173</v>
      </c>
      <c r="C7" s="1"/>
      <c r="D7" s="15">
        <v>4595.66</v>
      </c>
      <c r="E7" s="17">
        <f>F7+G7</f>
        <v>64008.01</v>
      </c>
      <c r="F7" s="17">
        <v>64008.01</v>
      </c>
      <c r="G7" s="4"/>
      <c r="H7" s="4">
        <v>21693</v>
      </c>
      <c r="I7" s="4">
        <v>31141</v>
      </c>
      <c r="J7" s="4">
        <f>H7+I7</f>
        <v>52834</v>
      </c>
      <c r="K7" s="4">
        <v>17881</v>
      </c>
      <c r="L7" s="4">
        <v>5653</v>
      </c>
      <c r="M7" s="4">
        <v>296</v>
      </c>
      <c r="N7" s="4">
        <f>J7+K7+L7+M7</f>
        <v>76664</v>
      </c>
      <c r="O7" s="16">
        <f>N7/D7/3</f>
        <v>5.560608632202267</v>
      </c>
      <c r="P7" s="20">
        <f>E7-N7</f>
        <v>-12655.989999999998</v>
      </c>
    </row>
    <row r="8" spans="1:16" ht="12.75">
      <c r="A8" s="2">
        <v>2</v>
      </c>
      <c r="B8" s="1" t="s">
        <v>174</v>
      </c>
      <c r="C8" s="1"/>
      <c r="D8" s="15">
        <v>2974.92</v>
      </c>
      <c r="E8" s="17">
        <f aca="true" t="shared" si="0" ref="E8:E54">F8+G8</f>
        <v>82867.52</v>
      </c>
      <c r="F8" s="17">
        <v>82867.52</v>
      </c>
      <c r="G8" s="4"/>
      <c r="H8" s="4">
        <v>14043</v>
      </c>
      <c r="I8" s="4">
        <v>35635</v>
      </c>
      <c r="J8" s="4">
        <f aca="true" t="shared" si="1" ref="J8:J54">H8+I8</f>
        <v>49678</v>
      </c>
      <c r="K8" s="4">
        <v>55134</v>
      </c>
      <c r="L8" s="4">
        <v>3659</v>
      </c>
      <c r="M8" s="4">
        <v>192</v>
      </c>
      <c r="N8" s="4">
        <f aca="true" t="shared" si="2" ref="N8:N54">J8+K8+L8+M8</f>
        <v>108663</v>
      </c>
      <c r="O8" s="16">
        <f aca="true" t="shared" si="3" ref="O8:O54">N8/D8/3</f>
        <v>12.175453457571969</v>
      </c>
      <c r="P8" s="20">
        <f aca="true" t="shared" si="4" ref="P8:P54">E8-N8</f>
        <v>-25795.479999999996</v>
      </c>
    </row>
    <row r="9" spans="1:16" ht="12.75">
      <c r="A9" s="2">
        <v>3</v>
      </c>
      <c r="B9" s="1" t="s">
        <v>175</v>
      </c>
      <c r="C9" s="1"/>
      <c r="D9" s="15">
        <v>7057.96</v>
      </c>
      <c r="E9" s="17">
        <f t="shared" si="0"/>
        <v>211764.94</v>
      </c>
      <c r="F9" s="17">
        <v>211764.94</v>
      </c>
      <c r="G9" s="4"/>
      <c r="H9" s="4">
        <v>33316</v>
      </c>
      <c r="I9" s="4">
        <v>72367</v>
      </c>
      <c r="J9" s="4">
        <f t="shared" si="1"/>
        <v>105683</v>
      </c>
      <c r="K9" s="4">
        <v>77131</v>
      </c>
      <c r="L9" s="4">
        <v>18682</v>
      </c>
      <c r="M9" s="21">
        <v>455</v>
      </c>
      <c r="N9" s="4">
        <f t="shared" si="2"/>
        <v>201951</v>
      </c>
      <c r="O9" s="16">
        <f t="shared" si="3"/>
        <v>9.53774178374488</v>
      </c>
      <c r="P9" s="20">
        <f t="shared" si="4"/>
        <v>9813.940000000002</v>
      </c>
    </row>
    <row r="10" spans="1:16" ht="12.75">
      <c r="A10" s="2">
        <v>4</v>
      </c>
      <c r="B10" s="1" t="s">
        <v>176</v>
      </c>
      <c r="C10" s="1"/>
      <c r="D10" s="15">
        <v>1879.75</v>
      </c>
      <c r="E10" s="17">
        <f t="shared" si="0"/>
        <v>65995.1</v>
      </c>
      <c r="F10" s="17">
        <v>65995.1</v>
      </c>
      <c r="G10" s="4"/>
      <c r="H10" s="4">
        <v>8873</v>
      </c>
      <c r="I10" s="4">
        <v>23229</v>
      </c>
      <c r="J10" s="4">
        <f t="shared" si="1"/>
        <v>32102</v>
      </c>
      <c r="K10" s="4">
        <v>22924</v>
      </c>
      <c r="L10" s="4">
        <v>2312</v>
      </c>
      <c r="M10" s="4">
        <v>121</v>
      </c>
      <c r="N10" s="4">
        <f t="shared" si="2"/>
        <v>57459</v>
      </c>
      <c r="O10" s="16">
        <f t="shared" si="3"/>
        <v>10.18912089373587</v>
      </c>
      <c r="P10" s="20">
        <f t="shared" si="4"/>
        <v>8536.100000000006</v>
      </c>
    </row>
    <row r="11" spans="1:16" ht="12.75">
      <c r="A11" s="2">
        <v>5</v>
      </c>
      <c r="B11" s="1" t="s">
        <v>177</v>
      </c>
      <c r="C11" s="1"/>
      <c r="D11" s="15">
        <v>4438.99</v>
      </c>
      <c r="E11" s="17">
        <f t="shared" si="0"/>
        <v>140627.46</v>
      </c>
      <c r="F11" s="17">
        <v>140627.46</v>
      </c>
      <c r="G11" s="4"/>
      <c r="H11" s="4">
        <v>20954</v>
      </c>
      <c r="I11" s="4">
        <v>46318</v>
      </c>
      <c r="J11" s="4">
        <f t="shared" si="1"/>
        <v>67272</v>
      </c>
      <c r="K11" s="4">
        <v>49199</v>
      </c>
      <c r="L11" s="4">
        <v>5460</v>
      </c>
      <c r="M11" s="4">
        <v>286</v>
      </c>
      <c r="N11" s="4">
        <f t="shared" si="2"/>
        <v>122217</v>
      </c>
      <c r="O11" s="16">
        <f t="shared" si="3"/>
        <v>9.177538133674553</v>
      </c>
      <c r="P11" s="20">
        <f t="shared" si="4"/>
        <v>18410.459999999992</v>
      </c>
    </row>
    <row r="12" spans="1:16" ht="12.75">
      <c r="A12" s="2">
        <v>6</v>
      </c>
      <c r="B12" s="1" t="s">
        <v>178</v>
      </c>
      <c r="C12" s="1"/>
      <c r="D12" s="15">
        <v>7001.3</v>
      </c>
      <c r="E12" s="17">
        <f t="shared" si="0"/>
        <v>218233.86</v>
      </c>
      <c r="F12" s="17">
        <v>218233.86</v>
      </c>
      <c r="G12" s="4"/>
      <c r="H12" s="4">
        <v>33049</v>
      </c>
      <c r="I12" s="4">
        <v>72011</v>
      </c>
      <c r="J12" s="4">
        <f t="shared" si="1"/>
        <v>105060</v>
      </c>
      <c r="K12" s="4">
        <v>68532</v>
      </c>
      <c r="L12" s="4">
        <v>8612</v>
      </c>
      <c r="M12" s="21">
        <v>4509</v>
      </c>
      <c r="N12" s="4">
        <f t="shared" si="2"/>
        <v>186713</v>
      </c>
      <c r="O12" s="16">
        <f t="shared" si="3"/>
        <v>8.889444341288998</v>
      </c>
      <c r="P12" s="20">
        <f t="shared" si="4"/>
        <v>31520.859999999986</v>
      </c>
    </row>
    <row r="13" spans="1:16" ht="12.75">
      <c r="A13" s="2">
        <v>7</v>
      </c>
      <c r="B13" s="1" t="s">
        <v>179</v>
      </c>
      <c r="C13" s="1"/>
      <c r="D13" s="15">
        <v>3606.62</v>
      </c>
      <c r="E13" s="17">
        <f t="shared" si="0"/>
        <v>92159.88</v>
      </c>
      <c r="F13" s="17">
        <v>92159.88</v>
      </c>
      <c r="G13" s="4"/>
      <c r="H13" s="4">
        <v>17025</v>
      </c>
      <c r="I13" s="4">
        <v>39735</v>
      </c>
      <c r="J13" s="4">
        <f t="shared" si="1"/>
        <v>56760</v>
      </c>
      <c r="K13" s="4">
        <v>60392</v>
      </c>
      <c r="L13" s="4">
        <v>4436</v>
      </c>
      <c r="M13" s="4">
        <v>232</v>
      </c>
      <c r="N13" s="4">
        <f t="shared" si="2"/>
        <v>121820</v>
      </c>
      <c r="O13" s="16">
        <f t="shared" si="3"/>
        <v>11.25892571622923</v>
      </c>
      <c r="P13" s="20">
        <f t="shared" si="4"/>
        <v>-29660.119999999995</v>
      </c>
    </row>
    <row r="14" spans="1:16" ht="12.75">
      <c r="A14" s="2">
        <v>8</v>
      </c>
      <c r="B14" s="1" t="s">
        <v>180</v>
      </c>
      <c r="C14" s="1"/>
      <c r="D14" s="15">
        <v>3594.55</v>
      </c>
      <c r="E14" s="17">
        <f t="shared" si="0"/>
        <v>111432.36</v>
      </c>
      <c r="F14" s="17">
        <v>109984.78</v>
      </c>
      <c r="G14" s="4">
        <v>1447.58</v>
      </c>
      <c r="H14" s="4">
        <v>16968</v>
      </c>
      <c r="I14" s="4">
        <v>39657</v>
      </c>
      <c r="J14" s="4">
        <f t="shared" si="1"/>
        <v>56625</v>
      </c>
      <c r="K14" s="4">
        <v>49651</v>
      </c>
      <c r="L14" s="4">
        <v>6169</v>
      </c>
      <c r="M14" s="4">
        <v>231</v>
      </c>
      <c r="N14" s="4">
        <f t="shared" si="2"/>
        <v>112676</v>
      </c>
      <c r="O14" s="16">
        <f t="shared" si="3"/>
        <v>10.448781256810078</v>
      </c>
      <c r="P14" s="20">
        <f t="shared" si="4"/>
        <v>-1243.6399999999994</v>
      </c>
    </row>
    <row r="15" spans="1:16" ht="12.75">
      <c r="A15" s="2">
        <v>9</v>
      </c>
      <c r="B15" s="1" t="s">
        <v>181</v>
      </c>
      <c r="C15" s="1"/>
      <c r="D15" s="15">
        <v>3239.7</v>
      </c>
      <c r="E15" s="17">
        <f t="shared" si="0"/>
        <v>100023.64</v>
      </c>
      <c r="F15" s="17">
        <v>84624.16</v>
      </c>
      <c r="G15" s="4">
        <v>15399.48</v>
      </c>
      <c r="H15" s="4">
        <v>15293</v>
      </c>
      <c r="I15" s="4">
        <v>39366</v>
      </c>
      <c r="J15" s="4">
        <f t="shared" si="1"/>
        <v>54659</v>
      </c>
      <c r="K15" s="4">
        <v>20192</v>
      </c>
      <c r="L15" s="4">
        <v>3985</v>
      </c>
      <c r="M15" s="4">
        <v>209</v>
      </c>
      <c r="N15" s="4">
        <f t="shared" si="2"/>
        <v>79045</v>
      </c>
      <c r="O15" s="16">
        <f t="shared" si="3"/>
        <v>8.13295469745141</v>
      </c>
      <c r="P15" s="20">
        <f t="shared" si="4"/>
        <v>20978.64</v>
      </c>
    </row>
    <row r="16" spans="1:16" ht="12.75">
      <c r="A16" s="2">
        <v>10</v>
      </c>
      <c r="B16" s="1" t="s">
        <v>182</v>
      </c>
      <c r="C16" s="1"/>
      <c r="D16" s="15">
        <v>3613.83</v>
      </c>
      <c r="E16" s="17">
        <f t="shared" si="0"/>
        <v>96104.69</v>
      </c>
      <c r="F16" s="17">
        <v>96104.69</v>
      </c>
      <c r="G16" s="4"/>
      <c r="H16" s="4">
        <v>17059</v>
      </c>
      <c r="I16" s="4">
        <v>43183</v>
      </c>
      <c r="J16" s="4">
        <f t="shared" si="1"/>
        <v>60242</v>
      </c>
      <c r="K16" s="4">
        <v>65715</v>
      </c>
      <c r="L16" s="4">
        <v>4445</v>
      </c>
      <c r="M16" s="4">
        <v>233</v>
      </c>
      <c r="N16" s="4">
        <f t="shared" si="2"/>
        <v>130635</v>
      </c>
      <c r="O16" s="16">
        <f t="shared" si="3"/>
        <v>12.049543005620075</v>
      </c>
      <c r="P16" s="20">
        <f t="shared" si="4"/>
        <v>-34530.31</v>
      </c>
    </row>
    <row r="17" spans="1:16" ht="12.75">
      <c r="A17" s="2">
        <v>11</v>
      </c>
      <c r="B17" s="1" t="s">
        <v>183</v>
      </c>
      <c r="C17" s="1"/>
      <c r="D17" s="15">
        <v>3614.21</v>
      </c>
      <c r="E17" s="17">
        <f t="shared" si="0"/>
        <v>88928.76</v>
      </c>
      <c r="F17" s="17">
        <v>88928.76</v>
      </c>
      <c r="G17" s="4"/>
      <c r="H17" s="4">
        <v>17061</v>
      </c>
      <c r="I17" s="4">
        <v>39954</v>
      </c>
      <c r="J17" s="4">
        <f t="shared" si="1"/>
        <v>57015</v>
      </c>
      <c r="K17" s="4">
        <v>28402</v>
      </c>
      <c r="L17" s="4">
        <v>4446</v>
      </c>
      <c r="M17" s="4">
        <v>233</v>
      </c>
      <c r="N17" s="4">
        <f t="shared" si="2"/>
        <v>90096</v>
      </c>
      <c r="O17" s="16">
        <f t="shared" si="3"/>
        <v>8.309423082776043</v>
      </c>
      <c r="P17" s="20">
        <f t="shared" si="4"/>
        <v>-1167.2400000000052</v>
      </c>
    </row>
    <row r="18" spans="1:16" ht="12.75">
      <c r="A18" s="2">
        <v>12</v>
      </c>
      <c r="B18" s="1" t="s">
        <v>184</v>
      </c>
      <c r="C18" s="1"/>
      <c r="D18" s="15">
        <v>3644.1</v>
      </c>
      <c r="E18" s="17">
        <f t="shared" si="0"/>
        <v>94332.81</v>
      </c>
      <c r="F18" s="17">
        <v>94332.81</v>
      </c>
      <c r="G18" s="4"/>
      <c r="H18" s="4">
        <v>17202</v>
      </c>
      <c r="I18" s="4">
        <v>39788</v>
      </c>
      <c r="J18" s="4">
        <f t="shared" si="1"/>
        <v>56990</v>
      </c>
      <c r="K18" s="4">
        <v>44782</v>
      </c>
      <c r="L18" s="4">
        <v>4482</v>
      </c>
      <c r="M18" s="4">
        <v>235</v>
      </c>
      <c r="N18" s="4">
        <f t="shared" si="2"/>
        <v>106489</v>
      </c>
      <c r="O18" s="16">
        <f t="shared" si="3"/>
        <v>9.740768182358698</v>
      </c>
      <c r="P18" s="20">
        <f t="shared" si="4"/>
        <v>-12156.190000000002</v>
      </c>
    </row>
    <row r="19" spans="1:16" ht="12.75">
      <c r="A19" s="2">
        <v>13</v>
      </c>
      <c r="B19" s="1" t="s">
        <v>185</v>
      </c>
      <c r="C19" s="1"/>
      <c r="D19" s="15">
        <v>3605.33</v>
      </c>
      <c r="E19" s="17">
        <f t="shared" si="0"/>
        <v>102491.70999999999</v>
      </c>
      <c r="F19" s="17">
        <v>97829.17</v>
      </c>
      <c r="G19" s="4">
        <v>4662.54</v>
      </c>
      <c r="H19" s="4">
        <v>17019</v>
      </c>
      <c r="I19" s="4">
        <v>39725</v>
      </c>
      <c r="J19" s="4">
        <f t="shared" si="1"/>
        <v>56744</v>
      </c>
      <c r="K19" s="4">
        <v>45659</v>
      </c>
      <c r="L19" s="4">
        <v>4435</v>
      </c>
      <c r="M19" s="4">
        <v>232</v>
      </c>
      <c r="N19" s="4">
        <f t="shared" si="2"/>
        <v>107070</v>
      </c>
      <c r="O19" s="16">
        <f t="shared" si="3"/>
        <v>9.899232525178</v>
      </c>
      <c r="P19" s="20">
        <f t="shared" si="4"/>
        <v>-4578.290000000008</v>
      </c>
    </row>
    <row r="20" spans="1:16" ht="12.75">
      <c r="A20" s="2">
        <v>14</v>
      </c>
      <c r="B20" s="1" t="s">
        <v>186</v>
      </c>
      <c r="C20" s="1"/>
      <c r="D20" s="15">
        <v>1849.2</v>
      </c>
      <c r="E20" s="17">
        <f t="shared" si="0"/>
        <v>26177.61</v>
      </c>
      <c r="F20" s="17">
        <v>26177.61</v>
      </c>
      <c r="G20" s="4"/>
      <c r="H20" s="4">
        <v>8729</v>
      </c>
      <c r="I20" s="4">
        <v>28976</v>
      </c>
      <c r="J20" s="4">
        <f t="shared" si="1"/>
        <v>37705</v>
      </c>
      <c r="K20" s="4">
        <v>14047</v>
      </c>
      <c r="L20" s="4">
        <v>2275</v>
      </c>
      <c r="M20" s="4">
        <v>119</v>
      </c>
      <c r="N20" s="4">
        <f t="shared" si="2"/>
        <v>54146</v>
      </c>
      <c r="O20" s="16">
        <f t="shared" si="3"/>
        <v>9.760256687576609</v>
      </c>
      <c r="P20" s="20">
        <f t="shared" si="4"/>
        <v>-27968.39</v>
      </c>
    </row>
    <row r="21" spans="1:16" ht="12.75">
      <c r="A21" s="2">
        <v>15</v>
      </c>
      <c r="B21" s="1" t="s">
        <v>187</v>
      </c>
      <c r="C21" s="1"/>
      <c r="D21" s="15">
        <v>3604.48</v>
      </c>
      <c r="E21" s="17">
        <f t="shared" si="0"/>
        <v>74972.12</v>
      </c>
      <c r="F21" s="17">
        <v>74972.12</v>
      </c>
      <c r="G21" s="4"/>
      <c r="H21" s="4">
        <v>17015</v>
      </c>
      <c r="I21" s="4">
        <v>38670</v>
      </c>
      <c r="J21" s="4">
        <f t="shared" si="1"/>
        <v>55685</v>
      </c>
      <c r="K21" s="4">
        <v>48141</v>
      </c>
      <c r="L21" s="4">
        <v>4434</v>
      </c>
      <c r="M21" s="4">
        <v>232</v>
      </c>
      <c r="N21" s="4">
        <f t="shared" si="2"/>
        <v>108492</v>
      </c>
      <c r="O21" s="16">
        <f t="shared" si="3"/>
        <v>10.033069957386363</v>
      </c>
      <c r="P21" s="20">
        <f t="shared" si="4"/>
        <v>-33519.880000000005</v>
      </c>
    </row>
    <row r="22" spans="1:16" ht="12.75">
      <c r="A22" s="2">
        <v>16</v>
      </c>
      <c r="B22" s="1" t="s">
        <v>188</v>
      </c>
      <c r="C22" s="1"/>
      <c r="D22" s="15">
        <v>3618.73</v>
      </c>
      <c r="E22" s="17">
        <f t="shared" si="0"/>
        <v>79575.16</v>
      </c>
      <c r="F22" s="17">
        <v>79575.16</v>
      </c>
      <c r="G22" s="4"/>
      <c r="H22" s="4">
        <v>19307</v>
      </c>
      <c r="I22" s="4">
        <v>37882</v>
      </c>
      <c r="J22" s="4">
        <f t="shared" si="1"/>
        <v>57189</v>
      </c>
      <c r="K22" s="4">
        <v>23865</v>
      </c>
      <c r="L22" s="4">
        <v>4451</v>
      </c>
      <c r="M22" s="4">
        <v>233</v>
      </c>
      <c r="N22" s="4">
        <f t="shared" si="2"/>
        <v>85738</v>
      </c>
      <c r="O22" s="16">
        <f t="shared" si="3"/>
        <v>7.897614172191164</v>
      </c>
      <c r="P22" s="20">
        <f t="shared" si="4"/>
        <v>-6162.8399999999965</v>
      </c>
    </row>
    <row r="23" spans="1:16" ht="12.75">
      <c r="A23" s="2">
        <v>17</v>
      </c>
      <c r="B23" s="1" t="s">
        <v>189</v>
      </c>
      <c r="C23" s="1"/>
      <c r="D23" s="15">
        <v>3887.7</v>
      </c>
      <c r="E23" s="17">
        <f t="shared" si="0"/>
        <v>118307.31</v>
      </c>
      <c r="F23" s="17">
        <v>118307.31</v>
      </c>
      <c r="G23" s="4"/>
      <c r="H23" s="4">
        <v>18351</v>
      </c>
      <c r="I23" s="4">
        <v>39561</v>
      </c>
      <c r="J23" s="4">
        <f t="shared" si="1"/>
        <v>57912</v>
      </c>
      <c r="K23" s="4">
        <v>39024</v>
      </c>
      <c r="L23" s="4">
        <v>4782</v>
      </c>
      <c r="M23" s="4">
        <v>250</v>
      </c>
      <c r="N23" s="4">
        <f t="shared" si="2"/>
        <v>101968</v>
      </c>
      <c r="O23" s="16">
        <f t="shared" si="3"/>
        <v>8.74278708062179</v>
      </c>
      <c r="P23" s="20">
        <f t="shared" si="4"/>
        <v>16339.309999999998</v>
      </c>
    </row>
    <row r="24" spans="1:16" ht="12.75">
      <c r="A24" s="2">
        <v>18</v>
      </c>
      <c r="B24" s="1" t="s">
        <v>190</v>
      </c>
      <c r="C24" s="1"/>
      <c r="D24" s="15">
        <v>3615.45</v>
      </c>
      <c r="E24" s="17">
        <f t="shared" si="0"/>
        <v>98843.37</v>
      </c>
      <c r="F24" s="17">
        <v>98843.37</v>
      </c>
      <c r="G24" s="4"/>
      <c r="H24" s="4">
        <v>17066</v>
      </c>
      <c r="I24" s="4">
        <v>38911</v>
      </c>
      <c r="J24" s="4">
        <f t="shared" si="1"/>
        <v>55977</v>
      </c>
      <c r="K24" s="4">
        <v>47510</v>
      </c>
      <c r="L24" s="4">
        <v>4447</v>
      </c>
      <c r="M24" s="4">
        <v>233</v>
      </c>
      <c r="N24" s="4">
        <f t="shared" si="2"/>
        <v>108167</v>
      </c>
      <c r="O24" s="16">
        <f t="shared" si="3"/>
        <v>9.972663614948809</v>
      </c>
      <c r="P24" s="20">
        <f t="shared" si="4"/>
        <v>-9323.630000000005</v>
      </c>
    </row>
    <row r="25" spans="1:16" ht="12.75">
      <c r="A25" s="2">
        <v>19</v>
      </c>
      <c r="B25" s="1" t="s">
        <v>191</v>
      </c>
      <c r="C25" s="1"/>
      <c r="D25" s="15">
        <v>2678.39</v>
      </c>
      <c r="E25" s="17">
        <f t="shared" si="0"/>
        <v>73189.24</v>
      </c>
      <c r="F25" s="17">
        <v>73189.24</v>
      </c>
      <c r="G25" s="4"/>
      <c r="H25" s="4">
        <v>12643</v>
      </c>
      <c r="I25" s="4">
        <v>30827</v>
      </c>
      <c r="J25" s="4">
        <f t="shared" si="1"/>
        <v>43470</v>
      </c>
      <c r="K25" s="4">
        <v>27909</v>
      </c>
      <c r="L25" s="4">
        <v>3294</v>
      </c>
      <c r="M25" s="4">
        <v>172</v>
      </c>
      <c r="N25" s="4">
        <f t="shared" si="2"/>
        <v>74845</v>
      </c>
      <c r="O25" s="16">
        <f t="shared" si="3"/>
        <v>9.314675358455391</v>
      </c>
      <c r="P25" s="20">
        <f t="shared" si="4"/>
        <v>-1655.7599999999948</v>
      </c>
    </row>
    <row r="26" spans="1:16" ht="12.75">
      <c r="A26" s="2">
        <v>20</v>
      </c>
      <c r="B26" s="1" t="s">
        <v>192</v>
      </c>
      <c r="C26" s="1"/>
      <c r="D26" s="15">
        <v>3614.83</v>
      </c>
      <c r="E26" s="17">
        <f t="shared" si="0"/>
        <v>8556.68</v>
      </c>
      <c r="F26" s="17">
        <v>8556.68</v>
      </c>
      <c r="G26" s="4"/>
      <c r="H26" s="4">
        <v>17063</v>
      </c>
      <c r="I26" s="4">
        <v>38208</v>
      </c>
      <c r="J26" s="4">
        <f t="shared" si="1"/>
        <v>55271</v>
      </c>
      <c r="K26" s="4">
        <v>26296</v>
      </c>
      <c r="L26" s="4">
        <v>4446</v>
      </c>
      <c r="M26" s="4">
        <v>233</v>
      </c>
      <c r="N26" s="4">
        <f t="shared" si="2"/>
        <v>86246</v>
      </c>
      <c r="O26" s="16">
        <f t="shared" si="3"/>
        <v>7.9529788860518105</v>
      </c>
      <c r="P26" s="20">
        <f t="shared" si="4"/>
        <v>-77689.32</v>
      </c>
    </row>
    <row r="27" spans="1:16" ht="12.75">
      <c r="A27" s="2">
        <v>21</v>
      </c>
      <c r="B27" s="1" t="s">
        <v>193</v>
      </c>
      <c r="C27" s="1"/>
      <c r="D27" s="15">
        <v>3608.85</v>
      </c>
      <c r="E27" s="17">
        <f t="shared" si="0"/>
        <v>88978.31</v>
      </c>
      <c r="F27" s="17">
        <v>87002</v>
      </c>
      <c r="G27" s="4">
        <v>1976.31</v>
      </c>
      <c r="H27" s="4">
        <v>17035</v>
      </c>
      <c r="I27" s="4">
        <v>38171</v>
      </c>
      <c r="J27" s="4">
        <f t="shared" si="1"/>
        <v>55206</v>
      </c>
      <c r="K27" s="4">
        <v>30464</v>
      </c>
      <c r="L27" s="4">
        <v>4439</v>
      </c>
      <c r="M27" s="4">
        <v>232</v>
      </c>
      <c r="N27" s="4">
        <f t="shared" si="2"/>
        <v>90341</v>
      </c>
      <c r="O27" s="16">
        <f t="shared" si="3"/>
        <v>8.344394105232046</v>
      </c>
      <c r="P27" s="20">
        <f t="shared" si="4"/>
        <v>-1362.6900000000023</v>
      </c>
    </row>
    <row r="28" spans="1:16" ht="12.75">
      <c r="A28" s="2">
        <v>22</v>
      </c>
      <c r="B28" s="1" t="s">
        <v>194</v>
      </c>
      <c r="C28" s="1"/>
      <c r="D28" s="15">
        <v>3608.24</v>
      </c>
      <c r="E28" s="17">
        <f t="shared" si="0"/>
        <v>95327.78</v>
      </c>
      <c r="F28" s="17">
        <v>95327.78</v>
      </c>
      <c r="G28" s="4"/>
      <c r="H28" s="4">
        <v>17032</v>
      </c>
      <c r="I28" s="4">
        <v>40821</v>
      </c>
      <c r="J28" s="4">
        <f t="shared" si="1"/>
        <v>57853</v>
      </c>
      <c r="K28" s="4">
        <v>38160</v>
      </c>
      <c r="L28" s="4">
        <v>4438</v>
      </c>
      <c r="M28" s="4">
        <v>232</v>
      </c>
      <c r="N28" s="4">
        <f t="shared" si="2"/>
        <v>100683</v>
      </c>
      <c r="O28" s="16">
        <f t="shared" si="3"/>
        <v>9.3012105624903</v>
      </c>
      <c r="P28" s="20">
        <f t="shared" si="4"/>
        <v>-5355.220000000001</v>
      </c>
    </row>
    <row r="29" spans="1:16" ht="12.75">
      <c r="A29" s="2">
        <v>23</v>
      </c>
      <c r="B29" s="1" t="s">
        <v>195</v>
      </c>
      <c r="C29" s="1"/>
      <c r="D29" s="15">
        <v>2527.69</v>
      </c>
      <c r="E29" s="17">
        <f t="shared" si="0"/>
        <v>63301.27</v>
      </c>
      <c r="F29" s="17">
        <v>63301.27</v>
      </c>
      <c r="G29" s="4"/>
      <c r="H29" s="4">
        <v>11932</v>
      </c>
      <c r="I29" s="4">
        <v>31463</v>
      </c>
      <c r="J29" s="4">
        <f t="shared" si="1"/>
        <v>43395</v>
      </c>
      <c r="K29" s="4">
        <v>32947</v>
      </c>
      <c r="L29" s="4">
        <v>3109</v>
      </c>
      <c r="M29" s="4">
        <v>163</v>
      </c>
      <c r="N29" s="4">
        <f t="shared" si="2"/>
        <v>79614</v>
      </c>
      <c r="O29" s="16">
        <f t="shared" si="3"/>
        <v>10.498914028223398</v>
      </c>
      <c r="P29" s="20">
        <f t="shared" si="4"/>
        <v>-16312.730000000003</v>
      </c>
    </row>
    <row r="30" spans="1:16" ht="12.75">
      <c r="A30" s="2">
        <v>24</v>
      </c>
      <c r="B30" s="1" t="s">
        <v>196</v>
      </c>
      <c r="C30" s="1"/>
      <c r="D30" s="15">
        <v>3613.63</v>
      </c>
      <c r="E30" s="17">
        <f t="shared" si="0"/>
        <v>104814.42000000001</v>
      </c>
      <c r="F30" s="17">
        <v>100460.96</v>
      </c>
      <c r="G30" s="4">
        <v>4353.46</v>
      </c>
      <c r="H30" s="4">
        <v>17058</v>
      </c>
      <c r="I30" s="4">
        <v>38725</v>
      </c>
      <c r="J30" s="4">
        <f t="shared" si="1"/>
        <v>55783</v>
      </c>
      <c r="K30" s="4">
        <v>46268</v>
      </c>
      <c r="L30" s="4">
        <v>4445</v>
      </c>
      <c r="M30" s="4">
        <v>233</v>
      </c>
      <c r="N30" s="4">
        <f t="shared" si="2"/>
        <v>106729</v>
      </c>
      <c r="O30" s="16">
        <f t="shared" si="3"/>
        <v>9.845040397974705</v>
      </c>
      <c r="P30" s="20">
        <f t="shared" si="4"/>
        <v>-1914.5799999999872</v>
      </c>
    </row>
    <row r="31" spans="1:16" ht="12.75">
      <c r="A31" s="2">
        <v>25</v>
      </c>
      <c r="B31" s="1" t="s">
        <v>197</v>
      </c>
      <c r="C31" s="1"/>
      <c r="D31" s="15">
        <v>3657.15</v>
      </c>
      <c r="E31" s="17">
        <f t="shared" si="0"/>
        <v>77656.53</v>
      </c>
      <c r="F31" s="17">
        <v>77656.53</v>
      </c>
      <c r="G31" s="4"/>
      <c r="H31" s="4">
        <v>17263</v>
      </c>
      <c r="I31" s="4">
        <v>38997</v>
      </c>
      <c r="J31" s="4">
        <f t="shared" si="1"/>
        <v>56260</v>
      </c>
      <c r="K31" s="4">
        <v>39575</v>
      </c>
      <c r="L31" s="4">
        <v>4498</v>
      </c>
      <c r="M31" s="4">
        <v>236</v>
      </c>
      <c r="N31" s="4">
        <f t="shared" si="2"/>
        <v>100569</v>
      </c>
      <c r="O31" s="16">
        <f t="shared" si="3"/>
        <v>9.166427409321466</v>
      </c>
      <c r="P31" s="20">
        <f t="shared" si="4"/>
        <v>-22912.47</v>
      </c>
    </row>
    <row r="32" spans="1:16" ht="12.75">
      <c r="A32" s="2">
        <v>26</v>
      </c>
      <c r="B32" s="1" t="s">
        <v>198</v>
      </c>
      <c r="C32" s="1"/>
      <c r="D32" s="15">
        <v>3613.94</v>
      </c>
      <c r="E32" s="17">
        <f t="shared" si="0"/>
        <v>105642.55</v>
      </c>
      <c r="F32" s="17">
        <v>104401.2</v>
      </c>
      <c r="G32" s="4">
        <v>1241.35</v>
      </c>
      <c r="H32" s="4">
        <v>17059</v>
      </c>
      <c r="I32" s="4">
        <v>38731</v>
      </c>
      <c r="J32" s="4">
        <f t="shared" si="1"/>
        <v>55790</v>
      </c>
      <c r="K32" s="4">
        <v>27442</v>
      </c>
      <c r="L32" s="4">
        <v>4445</v>
      </c>
      <c r="M32" s="4">
        <v>233</v>
      </c>
      <c r="N32" s="4">
        <f t="shared" si="2"/>
        <v>87910</v>
      </c>
      <c r="O32" s="16">
        <f t="shared" si="3"/>
        <v>8.108417221462817</v>
      </c>
      <c r="P32" s="20">
        <f t="shared" si="4"/>
        <v>17732.550000000003</v>
      </c>
    </row>
    <row r="33" spans="1:16" ht="12.75">
      <c r="A33" s="2">
        <v>27</v>
      </c>
      <c r="B33" s="1" t="s">
        <v>199</v>
      </c>
      <c r="C33" s="1"/>
      <c r="D33" s="15">
        <v>3619.08</v>
      </c>
      <c r="E33" s="17">
        <f t="shared" si="0"/>
        <v>97469.44</v>
      </c>
      <c r="F33" s="17">
        <v>97469.44</v>
      </c>
      <c r="G33" s="4"/>
      <c r="H33" s="4">
        <v>17084</v>
      </c>
      <c r="I33" s="4">
        <v>38584</v>
      </c>
      <c r="J33" s="4">
        <f t="shared" si="1"/>
        <v>55668</v>
      </c>
      <c r="K33" s="4">
        <v>76932</v>
      </c>
      <c r="L33" s="4">
        <v>4452</v>
      </c>
      <c r="M33" s="4">
        <v>233</v>
      </c>
      <c r="N33" s="4">
        <f t="shared" si="2"/>
        <v>137285</v>
      </c>
      <c r="O33" s="16">
        <f t="shared" si="3"/>
        <v>12.644557917113374</v>
      </c>
      <c r="P33" s="20">
        <f t="shared" si="4"/>
        <v>-39815.56</v>
      </c>
    </row>
    <row r="34" spans="1:16" ht="12.75">
      <c r="A34" s="2">
        <v>28</v>
      </c>
      <c r="B34" s="1" t="s">
        <v>200</v>
      </c>
      <c r="C34" s="1"/>
      <c r="D34" s="15">
        <v>3626.99</v>
      </c>
      <c r="E34" s="17">
        <f t="shared" si="0"/>
        <v>95513.58</v>
      </c>
      <c r="F34" s="17">
        <v>95513.58</v>
      </c>
      <c r="G34" s="4"/>
      <c r="H34" s="4">
        <v>17121</v>
      </c>
      <c r="I34" s="4">
        <v>38809</v>
      </c>
      <c r="J34" s="4">
        <f t="shared" si="1"/>
        <v>55930</v>
      </c>
      <c r="K34" s="4">
        <v>34827</v>
      </c>
      <c r="L34" s="4">
        <v>4461</v>
      </c>
      <c r="M34" s="4">
        <v>234</v>
      </c>
      <c r="N34" s="4">
        <f t="shared" si="2"/>
        <v>95452</v>
      </c>
      <c r="O34" s="16">
        <f t="shared" si="3"/>
        <v>8.772379668356773</v>
      </c>
      <c r="P34" s="20">
        <f t="shared" si="4"/>
        <v>61.580000000001746</v>
      </c>
    </row>
    <row r="35" spans="1:16" ht="12.75">
      <c r="A35" s="2">
        <v>29</v>
      </c>
      <c r="B35" s="1" t="s">
        <v>201</v>
      </c>
      <c r="C35" s="1"/>
      <c r="D35" s="15">
        <v>3621.21</v>
      </c>
      <c r="E35" s="17">
        <f t="shared" si="0"/>
        <v>84208.68</v>
      </c>
      <c r="F35" s="17">
        <v>84208.68</v>
      </c>
      <c r="G35" s="4"/>
      <c r="H35" s="4">
        <v>17094</v>
      </c>
      <c r="I35" s="4">
        <v>38943</v>
      </c>
      <c r="J35" s="4">
        <f t="shared" si="1"/>
        <v>56037</v>
      </c>
      <c r="K35" s="4">
        <v>35156</v>
      </c>
      <c r="L35" s="4">
        <v>4454</v>
      </c>
      <c r="M35" s="4">
        <v>233</v>
      </c>
      <c r="N35" s="4">
        <f t="shared" si="2"/>
        <v>95880</v>
      </c>
      <c r="O35" s="16">
        <f t="shared" si="3"/>
        <v>8.825779228489925</v>
      </c>
      <c r="P35" s="20">
        <f t="shared" si="4"/>
        <v>-11671.320000000007</v>
      </c>
    </row>
    <row r="36" spans="1:16" ht="12.75">
      <c r="A36" s="2">
        <v>30</v>
      </c>
      <c r="B36" s="1" t="s">
        <v>202</v>
      </c>
      <c r="C36" s="1"/>
      <c r="D36" s="15">
        <v>3616.22</v>
      </c>
      <c r="E36" s="17">
        <f t="shared" si="0"/>
        <v>106801.06</v>
      </c>
      <c r="F36" s="17">
        <v>106801.06</v>
      </c>
      <c r="G36" s="4"/>
      <c r="H36" s="4">
        <v>17070</v>
      </c>
      <c r="I36" s="4">
        <v>41364</v>
      </c>
      <c r="J36" s="4">
        <f t="shared" si="1"/>
        <v>58434</v>
      </c>
      <c r="K36" s="4">
        <v>23119</v>
      </c>
      <c r="L36" s="4">
        <v>4448</v>
      </c>
      <c r="M36" s="4">
        <v>233</v>
      </c>
      <c r="N36" s="4">
        <f t="shared" si="2"/>
        <v>86234</v>
      </c>
      <c r="O36" s="16">
        <f t="shared" si="3"/>
        <v>7.948815798448841</v>
      </c>
      <c r="P36" s="20">
        <f t="shared" si="4"/>
        <v>20567.059999999998</v>
      </c>
    </row>
    <row r="37" spans="1:16" ht="12.75">
      <c r="A37" s="2">
        <v>31</v>
      </c>
      <c r="B37" s="1" t="s">
        <v>203</v>
      </c>
      <c r="C37" s="1"/>
      <c r="D37" s="15">
        <v>3641.89</v>
      </c>
      <c r="E37" s="17">
        <f t="shared" si="0"/>
        <v>86699.97</v>
      </c>
      <c r="F37" s="17">
        <v>86699.97</v>
      </c>
      <c r="G37" s="4"/>
      <c r="H37" s="4">
        <v>17191</v>
      </c>
      <c r="I37" s="4">
        <v>41344</v>
      </c>
      <c r="J37" s="4">
        <f t="shared" si="1"/>
        <v>58535</v>
      </c>
      <c r="K37" s="4">
        <v>30919</v>
      </c>
      <c r="L37" s="4">
        <v>4480</v>
      </c>
      <c r="M37" s="4">
        <v>235</v>
      </c>
      <c r="N37" s="4">
        <f t="shared" si="2"/>
        <v>94169</v>
      </c>
      <c r="O37" s="16">
        <f t="shared" si="3"/>
        <v>8.619059517631413</v>
      </c>
      <c r="P37" s="20">
        <f t="shared" si="4"/>
        <v>-7469.029999999999</v>
      </c>
    </row>
    <row r="38" spans="1:16" ht="12.75">
      <c r="A38" s="2">
        <v>32</v>
      </c>
      <c r="B38" s="1" t="s">
        <v>204</v>
      </c>
      <c r="C38" s="1"/>
      <c r="D38" s="15">
        <v>3803.6</v>
      </c>
      <c r="E38" s="17">
        <f t="shared" si="0"/>
        <v>86654.76</v>
      </c>
      <c r="F38" s="17">
        <v>86654.76</v>
      </c>
      <c r="G38" s="4"/>
      <c r="H38" s="4">
        <v>17955</v>
      </c>
      <c r="I38" s="4">
        <v>41667</v>
      </c>
      <c r="J38" s="4">
        <f t="shared" si="1"/>
        <v>59622</v>
      </c>
      <c r="K38" s="4">
        <v>21170</v>
      </c>
      <c r="L38" s="4">
        <v>4678</v>
      </c>
      <c r="M38" s="4">
        <v>245</v>
      </c>
      <c r="N38" s="4">
        <f t="shared" si="2"/>
        <v>85715</v>
      </c>
      <c r="O38" s="16">
        <f t="shared" si="3"/>
        <v>7.511743260770499</v>
      </c>
      <c r="P38" s="20">
        <f t="shared" si="4"/>
        <v>939.7599999999948</v>
      </c>
    </row>
    <row r="39" spans="1:16" ht="12.75">
      <c r="A39" s="2">
        <v>33</v>
      </c>
      <c r="B39" s="1" t="s">
        <v>205</v>
      </c>
      <c r="C39" s="1"/>
      <c r="D39" s="15">
        <v>3765.82</v>
      </c>
      <c r="E39" s="17">
        <f t="shared" si="0"/>
        <v>99259.69</v>
      </c>
      <c r="F39" s="17">
        <v>99259.69</v>
      </c>
      <c r="G39" s="4"/>
      <c r="H39" s="4">
        <v>17776</v>
      </c>
      <c r="I39" s="4">
        <v>38109</v>
      </c>
      <c r="J39" s="4">
        <f t="shared" si="1"/>
        <v>55885</v>
      </c>
      <c r="K39" s="4">
        <v>26547</v>
      </c>
      <c r="L39" s="4">
        <v>4632</v>
      </c>
      <c r="M39" s="4">
        <v>243</v>
      </c>
      <c r="N39" s="4">
        <f t="shared" si="2"/>
        <v>87307</v>
      </c>
      <c r="O39" s="16">
        <f t="shared" si="3"/>
        <v>7.7280202806648575</v>
      </c>
      <c r="P39" s="20">
        <f t="shared" si="4"/>
        <v>11952.690000000002</v>
      </c>
    </row>
    <row r="40" spans="1:16" ht="12.75">
      <c r="A40" s="2"/>
      <c r="B40" s="22">
        <v>2</v>
      </c>
      <c r="C40" s="22"/>
      <c r="D40" s="22">
        <v>3</v>
      </c>
      <c r="E40" s="22">
        <v>4</v>
      </c>
      <c r="F40" s="22"/>
      <c r="G40" s="22"/>
      <c r="H40" s="22"/>
      <c r="I40" s="22"/>
      <c r="J40" s="22">
        <v>9</v>
      </c>
      <c r="K40" s="22"/>
      <c r="L40" s="22"/>
      <c r="M40" s="22"/>
      <c r="N40" s="22">
        <v>13</v>
      </c>
      <c r="O40" s="16">
        <f t="shared" si="3"/>
        <v>1.4444444444444444</v>
      </c>
      <c r="P40" s="20">
        <f t="shared" si="4"/>
        <v>-9</v>
      </c>
    </row>
    <row r="41" spans="1:16" ht="12.75">
      <c r="A41" s="2">
        <v>34</v>
      </c>
      <c r="B41" s="1" t="s">
        <v>206</v>
      </c>
      <c r="C41" s="1"/>
      <c r="D41" s="15">
        <v>3805.6</v>
      </c>
      <c r="E41" s="17">
        <f t="shared" si="0"/>
        <v>87677.09</v>
      </c>
      <c r="F41" s="17">
        <v>87677.09</v>
      </c>
      <c r="G41" s="4"/>
      <c r="H41" s="4">
        <v>17964</v>
      </c>
      <c r="I41" s="4">
        <v>39930</v>
      </c>
      <c r="J41" s="4">
        <f t="shared" si="1"/>
        <v>57894</v>
      </c>
      <c r="K41" s="4">
        <v>42318</v>
      </c>
      <c r="L41" s="4">
        <v>4681</v>
      </c>
      <c r="M41" s="4">
        <v>243</v>
      </c>
      <c r="N41" s="4">
        <f t="shared" si="2"/>
        <v>105136</v>
      </c>
      <c r="O41" s="16">
        <f t="shared" si="3"/>
        <v>9.208885151706257</v>
      </c>
      <c r="P41" s="20">
        <f t="shared" si="4"/>
        <v>-17458.910000000003</v>
      </c>
    </row>
    <row r="42" spans="1:16" ht="12.75">
      <c r="A42" s="2">
        <v>35</v>
      </c>
      <c r="B42" s="1" t="s">
        <v>207</v>
      </c>
      <c r="C42" s="1"/>
      <c r="D42" s="15">
        <v>3812.15</v>
      </c>
      <c r="E42" s="17">
        <f t="shared" si="0"/>
        <v>89043.52</v>
      </c>
      <c r="F42" s="17">
        <v>89043.52</v>
      </c>
      <c r="G42" s="4"/>
      <c r="H42" s="4">
        <v>17995</v>
      </c>
      <c r="I42" s="4">
        <v>42069</v>
      </c>
      <c r="J42" s="4">
        <f t="shared" si="1"/>
        <v>60064</v>
      </c>
      <c r="K42" s="4">
        <v>33585</v>
      </c>
      <c r="L42" s="4">
        <v>4689</v>
      </c>
      <c r="M42" s="4">
        <v>246</v>
      </c>
      <c r="N42" s="4">
        <f t="shared" si="2"/>
        <v>98584</v>
      </c>
      <c r="O42" s="16">
        <f t="shared" si="3"/>
        <v>8.620157478937957</v>
      </c>
      <c r="P42" s="20">
        <f t="shared" si="4"/>
        <v>-9540.479999999996</v>
      </c>
    </row>
    <row r="43" spans="1:16" ht="12.75">
      <c r="A43" s="2">
        <v>36</v>
      </c>
      <c r="B43" s="1" t="s">
        <v>208</v>
      </c>
      <c r="C43" s="1"/>
      <c r="D43" s="15">
        <v>3801.02</v>
      </c>
      <c r="E43" s="17">
        <f t="shared" si="0"/>
        <v>102000.09</v>
      </c>
      <c r="F43" s="17">
        <v>102000.09</v>
      </c>
      <c r="G43" s="4"/>
      <c r="H43" s="4">
        <v>17942</v>
      </c>
      <c r="I43" s="4">
        <v>38677</v>
      </c>
      <c r="J43" s="4">
        <f t="shared" si="1"/>
        <v>56619</v>
      </c>
      <c r="K43" s="4">
        <v>26535</v>
      </c>
      <c r="L43" s="4">
        <v>4675</v>
      </c>
      <c r="M43" s="4">
        <v>245</v>
      </c>
      <c r="N43" s="4">
        <f t="shared" si="2"/>
        <v>88074</v>
      </c>
      <c r="O43" s="16">
        <f t="shared" si="3"/>
        <v>7.7237162656339615</v>
      </c>
      <c r="P43" s="20">
        <f t="shared" si="4"/>
        <v>13926.089999999997</v>
      </c>
    </row>
    <row r="44" spans="1:16" ht="12.75">
      <c r="A44" s="2">
        <v>37</v>
      </c>
      <c r="B44" s="1" t="s">
        <v>209</v>
      </c>
      <c r="C44" s="1"/>
      <c r="D44" s="15">
        <v>3786.32</v>
      </c>
      <c r="E44" s="17">
        <f t="shared" si="0"/>
        <v>75008.91</v>
      </c>
      <c r="F44" s="17">
        <v>75008.91</v>
      </c>
      <c r="G44" s="4"/>
      <c r="H44" s="4">
        <v>17873</v>
      </c>
      <c r="I44" s="4">
        <v>41559</v>
      </c>
      <c r="J44" s="4">
        <f t="shared" si="1"/>
        <v>59432</v>
      </c>
      <c r="K44" s="4">
        <v>20749</v>
      </c>
      <c r="L44" s="4">
        <v>4657</v>
      </c>
      <c r="M44" s="4">
        <v>244</v>
      </c>
      <c r="N44" s="4">
        <f t="shared" si="2"/>
        <v>85082</v>
      </c>
      <c r="O44" s="16">
        <f t="shared" si="3"/>
        <v>7.490298407600695</v>
      </c>
      <c r="P44" s="20">
        <f t="shared" si="4"/>
        <v>-10073.089999999997</v>
      </c>
    </row>
    <row r="45" spans="1:16" ht="12.75">
      <c r="A45" s="2">
        <v>38</v>
      </c>
      <c r="B45" s="1" t="s">
        <v>210</v>
      </c>
      <c r="C45" s="1"/>
      <c r="D45" s="15">
        <v>3739.54</v>
      </c>
      <c r="E45" s="17">
        <f t="shared" si="0"/>
        <v>110143.29</v>
      </c>
      <c r="F45" s="17">
        <v>110143.29</v>
      </c>
      <c r="G45" s="4"/>
      <c r="H45" s="4">
        <v>17652</v>
      </c>
      <c r="I45" s="4">
        <v>41094</v>
      </c>
      <c r="J45" s="4">
        <f t="shared" si="1"/>
        <v>58746</v>
      </c>
      <c r="K45" s="4">
        <v>41274</v>
      </c>
      <c r="L45" s="4">
        <v>4600</v>
      </c>
      <c r="M45" s="4">
        <v>241</v>
      </c>
      <c r="N45" s="4">
        <f t="shared" si="2"/>
        <v>104861</v>
      </c>
      <c r="O45" s="16">
        <f t="shared" si="3"/>
        <v>9.34704981539619</v>
      </c>
      <c r="P45" s="20">
        <f t="shared" si="4"/>
        <v>5282.289999999994</v>
      </c>
    </row>
    <row r="46" spans="1:16" ht="12.75">
      <c r="A46" s="2">
        <v>39</v>
      </c>
      <c r="B46" s="1" t="s">
        <v>211</v>
      </c>
      <c r="C46" s="1"/>
      <c r="D46" s="15">
        <v>3624.69</v>
      </c>
      <c r="E46" s="17">
        <f t="shared" si="0"/>
        <v>95191.49</v>
      </c>
      <c r="F46" s="17">
        <v>95191.49</v>
      </c>
      <c r="G46" s="4"/>
      <c r="H46" s="4">
        <v>17110</v>
      </c>
      <c r="I46" s="4">
        <v>39208</v>
      </c>
      <c r="J46" s="4">
        <f t="shared" si="1"/>
        <v>56318</v>
      </c>
      <c r="K46" s="4">
        <v>61279</v>
      </c>
      <c r="L46" s="4">
        <v>4458</v>
      </c>
      <c r="M46" s="4">
        <v>233</v>
      </c>
      <c r="N46" s="4">
        <f t="shared" si="2"/>
        <v>122288</v>
      </c>
      <c r="O46" s="16">
        <f t="shared" si="3"/>
        <v>11.245835276028203</v>
      </c>
      <c r="P46" s="20">
        <f t="shared" si="4"/>
        <v>-27096.509999999995</v>
      </c>
    </row>
    <row r="47" spans="1:16" ht="12.75">
      <c r="A47" s="2">
        <v>40</v>
      </c>
      <c r="B47" s="1" t="s">
        <v>212</v>
      </c>
      <c r="C47" s="1"/>
      <c r="D47" s="15">
        <v>2517.57</v>
      </c>
      <c r="E47" s="17">
        <f t="shared" si="0"/>
        <v>57596.79</v>
      </c>
      <c r="F47" s="17">
        <v>57596.79</v>
      </c>
      <c r="G47" s="4"/>
      <c r="H47" s="4">
        <v>11884</v>
      </c>
      <c r="I47" s="4">
        <v>29113</v>
      </c>
      <c r="J47" s="4">
        <f t="shared" si="1"/>
        <v>40997</v>
      </c>
      <c r="K47" s="4">
        <v>37104</v>
      </c>
      <c r="L47" s="4">
        <v>3097</v>
      </c>
      <c r="M47" s="4">
        <v>162</v>
      </c>
      <c r="N47" s="4">
        <f t="shared" si="2"/>
        <v>81360</v>
      </c>
      <c r="O47" s="16">
        <f t="shared" si="3"/>
        <v>10.772292329508216</v>
      </c>
      <c r="P47" s="20">
        <f t="shared" si="4"/>
        <v>-23763.21</v>
      </c>
    </row>
    <row r="48" spans="1:16" ht="12.75">
      <c r="A48" s="2">
        <v>41</v>
      </c>
      <c r="B48" s="1" t="s">
        <v>213</v>
      </c>
      <c r="C48" s="1"/>
      <c r="D48" s="15">
        <v>3604.55</v>
      </c>
      <c r="E48" s="17">
        <f t="shared" si="0"/>
        <v>30349.55</v>
      </c>
      <c r="F48" s="17">
        <v>30349.55</v>
      </c>
      <c r="G48" s="4"/>
      <c r="H48" s="4"/>
      <c r="I48" s="4"/>
      <c r="J48" s="4">
        <f t="shared" si="1"/>
        <v>0</v>
      </c>
      <c r="K48" s="4"/>
      <c r="L48" s="4"/>
      <c r="M48" s="4"/>
      <c r="N48" s="4">
        <f t="shared" si="2"/>
        <v>0</v>
      </c>
      <c r="O48" s="16">
        <f t="shared" si="3"/>
        <v>0</v>
      </c>
      <c r="P48" s="20">
        <f t="shared" si="4"/>
        <v>30349.55</v>
      </c>
    </row>
    <row r="49" spans="1:16" ht="12.75">
      <c r="A49" s="2">
        <v>42</v>
      </c>
      <c r="B49" s="1" t="s">
        <v>214</v>
      </c>
      <c r="C49" s="1"/>
      <c r="D49" s="15">
        <v>690.44</v>
      </c>
      <c r="E49" s="17">
        <f t="shared" si="0"/>
        <v>14761.05</v>
      </c>
      <c r="F49" s="17">
        <v>14761.05</v>
      </c>
      <c r="G49" s="4"/>
      <c r="H49" s="4">
        <v>3259</v>
      </c>
      <c r="I49" s="4">
        <v>8495</v>
      </c>
      <c r="J49" s="4">
        <f t="shared" si="1"/>
        <v>11754</v>
      </c>
      <c r="K49" s="4">
        <v>3783</v>
      </c>
      <c r="L49" s="4">
        <v>849</v>
      </c>
      <c r="M49" s="4">
        <v>44</v>
      </c>
      <c r="N49" s="4">
        <f t="shared" si="2"/>
        <v>16430</v>
      </c>
      <c r="O49" s="16">
        <f t="shared" si="3"/>
        <v>7.932139891470173</v>
      </c>
      <c r="P49" s="20">
        <f t="shared" si="4"/>
        <v>-1668.9500000000007</v>
      </c>
    </row>
    <row r="50" spans="1:16" ht="12.75">
      <c r="A50" s="2">
        <v>43</v>
      </c>
      <c r="B50" s="1" t="s">
        <v>215</v>
      </c>
      <c r="C50" s="1"/>
      <c r="D50" s="15">
        <v>654.84</v>
      </c>
      <c r="E50" s="17">
        <f t="shared" si="0"/>
        <v>24528.82</v>
      </c>
      <c r="F50" s="17">
        <v>24528.82</v>
      </c>
      <c r="G50" s="4"/>
      <c r="H50" s="4">
        <v>3091</v>
      </c>
      <c r="I50" s="4">
        <v>9158</v>
      </c>
      <c r="J50" s="4">
        <f t="shared" si="1"/>
        <v>12249</v>
      </c>
      <c r="K50" s="4">
        <v>3587</v>
      </c>
      <c r="L50" s="4">
        <v>805</v>
      </c>
      <c r="M50" s="4">
        <v>42</v>
      </c>
      <c r="N50" s="4">
        <f t="shared" si="2"/>
        <v>16683</v>
      </c>
      <c r="O50" s="16">
        <f t="shared" si="3"/>
        <v>8.49215075438275</v>
      </c>
      <c r="P50" s="20">
        <f t="shared" si="4"/>
        <v>7845.82</v>
      </c>
    </row>
    <row r="51" spans="1:16" ht="12.75">
      <c r="A51" s="2">
        <v>44</v>
      </c>
      <c r="B51" s="1" t="s">
        <v>216</v>
      </c>
      <c r="C51" s="1"/>
      <c r="D51" s="15">
        <v>1806.12</v>
      </c>
      <c r="E51" s="17">
        <f t="shared" si="0"/>
        <v>44932.42</v>
      </c>
      <c r="F51" s="17">
        <v>44932.42</v>
      </c>
      <c r="G51" s="4"/>
      <c r="H51" s="4">
        <v>8526</v>
      </c>
      <c r="I51" s="4">
        <v>21574</v>
      </c>
      <c r="J51" s="4">
        <f t="shared" si="1"/>
        <v>30100</v>
      </c>
      <c r="K51" s="4">
        <v>38953</v>
      </c>
      <c r="L51" s="4">
        <v>2222</v>
      </c>
      <c r="M51" s="4">
        <v>116</v>
      </c>
      <c r="N51" s="4">
        <f t="shared" si="2"/>
        <v>71391</v>
      </c>
      <c r="O51" s="16">
        <f t="shared" si="3"/>
        <v>13.175757978428898</v>
      </c>
      <c r="P51" s="20">
        <f t="shared" si="4"/>
        <v>-26458.58</v>
      </c>
    </row>
    <row r="52" spans="1:16" ht="12.75">
      <c r="A52" s="2">
        <v>45</v>
      </c>
      <c r="B52" s="1" t="s">
        <v>217</v>
      </c>
      <c r="C52" s="1"/>
      <c r="D52" s="15">
        <v>1493.57</v>
      </c>
      <c r="E52" s="17">
        <f t="shared" si="0"/>
        <v>29201.48</v>
      </c>
      <c r="F52" s="17">
        <v>29201.48</v>
      </c>
      <c r="G52" s="4"/>
      <c r="H52" s="4">
        <v>7050</v>
      </c>
      <c r="I52" s="4">
        <v>20682</v>
      </c>
      <c r="J52" s="4">
        <f t="shared" si="1"/>
        <v>27732</v>
      </c>
      <c r="K52" s="4">
        <v>7968</v>
      </c>
      <c r="L52" s="4">
        <v>1837</v>
      </c>
      <c r="M52" s="4">
        <v>96</v>
      </c>
      <c r="N52" s="4">
        <f t="shared" si="2"/>
        <v>37633</v>
      </c>
      <c r="O52" s="16">
        <f t="shared" si="3"/>
        <v>8.398892139861763</v>
      </c>
      <c r="P52" s="20">
        <f t="shared" si="4"/>
        <v>-8431.52</v>
      </c>
    </row>
    <row r="53" spans="1:16" ht="12.75">
      <c r="A53" s="2">
        <v>46</v>
      </c>
      <c r="B53" s="1" t="s">
        <v>218</v>
      </c>
      <c r="C53" s="1"/>
      <c r="D53" s="3">
        <v>1999.99</v>
      </c>
      <c r="E53" s="17">
        <f t="shared" si="0"/>
        <v>44814.87</v>
      </c>
      <c r="F53" s="17">
        <v>44814.87</v>
      </c>
      <c r="G53" s="4"/>
      <c r="H53" s="4">
        <v>9441</v>
      </c>
      <c r="I53" s="4">
        <v>77480</v>
      </c>
      <c r="J53" s="4">
        <f t="shared" si="1"/>
        <v>86921</v>
      </c>
      <c r="K53" s="4">
        <v>11670</v>
      </c>
      <c r="L53" s="4">
        <v>2460</v>
      </c>
      <c r="M53" s="4">
        <v>129</v>
      </c>
      <c r="N53" s="4">
        <f t="shared" si="2"/>
        <v>101180</v>
      </c>
      <c r="O53" s="16">
        <f t="shared" si="3"/>
        <v>16.863417650421585</v>
      </c>
      <c r="P53" s="20">
        <f t="shared" si="4"/>
        <v>-56365.13</v>
      </c>
    </row>
    <row r="54" spans="1:16" ht="12.75">
      <c r="A54" s="2">
        <v>47</v>
      </c>
      <c r="B54" s="1" t="s">
        <v>219</v>
      </c>
      <c r="C54" s="1"/>
      <c r="D54" s="3">
        <v>1443.12</v>
      </c>
      <c r="E54" s="17">
        <f t="shared" si="0"/>
        <v>29882.63</v>
      </c>
      <c r="F54" s="17">
        <v>29882.63</v>
      </c>
      <c r="G54" s="4"/>
      <c r="H54" s="4">
        <v>6812</v>
      </c>
      <c r="I54" s="4">
        <v>27421</v>
      </c>
      <c r="J54" s="4">
        <f t="shared" si="1"/>
        <v>34233</v>
      </c>
      <c r="K54" s="4">
        <v>7699</v>
      </c>
      <c r="L54" s="4">
        <v>1775</v>
      </c>
      <c r="M54" s="4">
        <v>93</v>
      </c>
      <c r="N54" s="4">
        <f t="shared" si="2"/>
        <v>43800</v>
      </c>
      <c r="O54" s="16">
        <f t="shared" si="3"/>
        <v>10.116968789844227</v>
      </c>
      <c r="P54" s="20">
        <f t="shared" si="4"/>
        <v>-13917.369999999999</v>
      </c>
    </row>
    <row r="55" spans="1:16" ht="12.75">
      <c r="A55" s="1"/>
      <c r="B55" s="1" t="s">
        <v>243</v>
      </c>
      <c r="C55" s="1"/>
      <c r="D55" s="7">
        <f aca="true" t="shared" si="5" ref="D55:N55">SUM(D7:D54)</f>
        <v>158842.53000000003</v>
      </c>
      <c r="E55" s="7">
        <f t="shared" si="5"/>
        <v>3976056.2699999986</v>
      </c>
      <c r="F55" s="7">
        <f t="shared" si="5"/>
        <v>3946971.5499999993</v>
      </c>
      <c r="G55" s="5">
        <f t="shared" si="5"/>
        <v>29080.719999999998</v>
      </c>
      <c r="H55" s="5">
        <f t="shared" si="5"/>
        <v>734998</v>
      </c>
      <c r="I55" s="5">
        <f t="shared" si="5"/>
        <v>1757332</v>
      </c>
      <c r="J55" s="5">
        <f t="shared" si="5"/>
        <v>2492339</v>
      </c>
      <c r="K55" s="5">
        <f t="shared" si="5"/>
        <v>1632416</v>
      </c>
      <c r="L55" s="5">
        <f t="shared" si="5"/>
        <v>202689</v>
      </c>
      <c r="M55" s="5">
        <f t="shared" si="5"/>
        <v>14055</v>
      </c>
      <c r="N55" s="5">
        <f t="shared" si="5"/>
        <v>4341503</v>
      </c>
      <c r="O55" s="13">
        <f>N55/D55/12</f>
        <v>2.2776766188920976</v>
      </c>
      <c r="P55" s="12">
        <f>E55-N55</f>
        <v>-365446.7300000014</v>
      </c>
    </row>
    <row r="58" spans="2:12" ht="12.75">
      <c r="B58" t="s">
        <v>244</v>
      </c>
      <c r="L58" t="s">
        <v>245</v>
      </c>
    </row>
    <row r="60" spans="2:12" ht="12.75">
      <c r="B60" t="s">
        <v>246</v>
      </c>
      <c r="L60" t="s">
        <v>247</v>
      </c>
    </row>
    <row r="62" spans="2:6" ht="12.75">
      <c r="B62" t="s">
        <v>563</v>
      </c>
      <c r="F62">
        <v>3900722.46</v>
      </c>
    </row>
    <row r="64" ht="12.75">
      <c r="F64" s="116">
        <f>F55-F62</f>
        <v>46249.089999999385</v>
      </c>
    </row>
    <row r="85" spans="1:16" ht="12.75">
      <c r="A85" s="29"/>
      <c r="B85" s="29"/>
      <c r="C85" s="29"/>
      <c r="D85" s="29" t="s">
        <v>222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3.5" thickBot="1">
      <c r="A86" s="29"/>
      <c r="B86" s="29"/>
      <c r="C86" s="29"/>
      <c r="D86" s="29"/>
      <c r="E86" s="29"/>
      <c r="F86" s="29"/>
      <c r="G86" s="29"/>
      <c r="H86" s="29"/>
      <c r="I86" s="29"/>
      <c r="J86" s="29" t="s">
        <v>312</v>
      </c>
      <c r="K86" s="29"/>
      <c r="L86" s="29"/>
      <c r="M86" s="29"/>
      <c r="N86" s="29"/>
      <c r="O86" s="29"/>
      <c r="P86" s="29"/>
    </row>
    <row r="87" spans="1:16" ht="39.75" customHeight="1">
      <c r="A87" s="198" t="s">
        <v>0</v>
      </c>
      <c r="B87" s="201" t="s">
        <v>167</v>
      </c>
      <c r="C87" s="188" t="s">
        <v>165</v>
      </c>
      <c r="D87" s="145" t="s">
        <v>313</v>
      </c>
      <c r="E87" s="183" t="s">
        <v>447</v>
      </c>
      <c r="F87" s="184"/>
      <c r="G87" s="185"/>
      <c r="H87" s="186" t="s">
        <v>221</v>
      </c>
      <c r="I87" s="186"/>
      <c r="J87" s="186"/>
      <c r="K87" s="186"/>
      <c r="L87" s="186"/>
      <c r="M87" s="186"/>
      <c r="N87" s="186"/>
      <c r="O87" s="187"/>
      <c r="P87" s="188" t="s">
        <v>172</v>
      </c>
    </row>
    <row r="88" spans="1:16" ht="13.5" thickBot="1">
      <c r="A88" s="199"/>
      <c r="B88" s="202"/>
      <c r="C88" s="189"/>
      <c r="D88" s="146"/>
      <c r="E88" s="191" t="s">
        <v>169</v>
      </c>
      <c r="F88" s="193" t="s">
        <v>163</v>
      </c>
      <c r="G88" s="194"/>
      <c r="H88" s="195" t="s">
        <v>166</v>
      </c>
      <c r="I88" s="195"/>
      <c r="J88" s="196"/>
      <c r="K88" s="195"/>
      <c r="L88" s="195"/>
      <c r="M88" s="195"/>
      <c r="N88" s="196"/>
      <c r="O88" s="197"/>
      <c r="P88" s="189"/>
    </row>
    <row r="89" spans="1:16" ht="78.75">
      <c r="A89" s="200"/>
      <c r="B89" s="170"/>
      <c r="C89" s="190"/>
      <c r="D89" s="147"/>
      <c r="E89" s="192"/>
      <c r="F89" s="6" t="s">
        <v>164</v>
      </c>
      <c r="G89" s="35" t="s">
        <v>220</v>
      </c>
      <c r="H89" s="28" t="s">
        <v>158</v>
      </c>
      <c r="I89" s="27" t="s">
        <v>159</v>
      </c>
      <c r="J89" s="45" t="s">
        <v>168</v>
      </c>
      <c r="K89" s="28" t="s">
        <v>160</v>
      </c>
      <c r="L89" s="6" t="s">
        <v>161</v>
      </c>
      <c r="M89" s="25" t="s">
        <v>162</v>
      </c>
      <c r="N89" s="52" t="s">
        <v>170</v>
      </c>
      <c r="O89" s="28" t="s">
        <v>171</v>
      </c>
      <c r="P89" s="190"/>
    </row>
    <row r="90" spans="1:16" ht="12.75">
      <c r="A90" s="10">
        <v>1</v>
      </c>
      <c r="B90" s="10">
        <v>2</v>
      </c>
      <c r="C90" s="10">
        <v>3</v>
      </c>
      <c r="D90" s="31"/>
      <c r="E90" s="36">
        <v>4</v>
      </c>
      <c r="F90" s="10">
        <v>5</v>
      </c>
      <c r="G90" s="37">
        <v>6</v>
      </c>
      <c r="H90" s="26">
        <v>7</v>
      </c>
      <c r="I90" s="25">
        <v>8</v>
      </c>
      <c r="J90" s="46">
        <v>9</v>
      </c>
      <c r="K90" s="26">
        <v>10</v>
      </c>
      <c r="L90" s="10">
        <v>11</v>
      </c>
      <c r="M90" s="25">
        <v>12</v>
      </c>
      <c r="N90" s="46">
        <v>13</v>
      </c>
      <c r="O90" s="26">
        <v>14</v>
      </c>
      <c r="P90" s="10">
        <v>15</v>
      </c>
    </row>
    <row r="91" spans="1:16" ht="12.75">
      <c r="A91" s="10">
        <v>1</v>
      </c>
      <c r="B91" s="5" t="s">
        <v>173</v>
      </c>
      <c r="C91" s="13">
        <v>4595.66</v>
      </c>
      <c r="D91" s="25">
        <v>-12656</v>
      </c>
      <c r="E91" s="38">
        <f>F91+G91</f>
        <v>5970.74</v>
      </c>
      <c r="F91" s="13">
        <v>5970.74</v>
      </c>
      <c r="G91" s="37"/>
      <c r="H91" s="26"/>
      <c r="I91" s="25"/>
      <c r="J91" s="46">
        <f>H91+I91</f>
        <v>0</v>
      </c>
      <c r="K91" s="26"/>
      <c r="L91" s="10"/>
      <c r="M91" s="25"/>
      <c r="N91" s="46">
        <f>J91+K91+L91+M91</f>
        <v>0</v>
      </c>
      <c r="O91" s="50">
        <f aca="true" t="shared" si="6" ref="O91:O123">N91/C91/3</f>
        <v>0</v>
      </c>
      <c r="P91" s="30">
        <v>-6685.26</v>
      </c>
    </row>
    <row r="92" spans="1:16" ht="12.75">
      <c r="A92" s="10">
        <v>2</v>
      </c>
      <c r="B92" s="5" t="s">
        <v>174</v>
      </c>
      <c r="C92" s="13">
        <v>2974.92</v>
      </c>
      <c r="D92" s="25">
        <v>-25795</v>
      </c>
      <c r="E92" s="38">
        <f>F92+G92</f>
        <v>103033.88</v>
      </c>
      <c r="F92" s="13">
        <v>103033.88</v>
      </c>
      <c r="G92" s="37">
        <v>0</v>
      </c>
      <c r="H92" s="26">
        <v>22705</v>
      </c>
      <c r="I92" s="25">
        <v>39565</v>
      </c>
      <c r="J92" s="46">
        <f aca="true" t="shared" si="7" ref="J92:J123">H92+I92</f>
        <v>62270</v>
      </c>
      <c r="K92" s="26">
        <v>28408</v>
      </c>
      <c r="L92" s="10">
        <v>2425</v>
      </c>
      <c r="M92" s="25">
        <v>165</v>
      </c>
      <c r="N92" s="46">
        <f aca="true" t="shared" si="8" ref="N92:N123">J92+K92+L92+M92</f>
        <v>93268</v>
      </c>
      <c r="O92" s="50">
        <f t="shared" si="6"/>
        <v>10.450477099664305</v>
      </c>
      <c r="P92" s="30">
        <f>E92-N92-25795</f>
        <v>-16029.119999999995</v>
      </c>
    </row>
    <row r="93" spans="1:16" ht="12.75">
      <c r="A93" s="10">
        <v>3</v>
      </c>
      <c r="B93" s="5" t="s">
        <v>175</v>
      </c>
      <c r="C93" s="13">
        <v>7057.96</v>
      </c>
      <c r="D93" s="25">
        <v>9814</v>
      </c>
      <c r="E93" s="38">
        <f aca="true" t="shared" si="9" ref="E93:E123">F93+G93</f>
        <v>216295.68</v>
      </c>
      <c r="F93" s="13">
        <v>216295.68</v>
      </c>
      <c r="G93" s="37">
        <v>0</v>
      </c>
      <c r="H93" s="26">
        <v>53866</v>
      </c>
      <c r="I93" s="25">
        <v>62244</v>
      </c>
      <c r="J93" s="46">
        <f t="shared" si="7"/>
        <v>116110</v>
      </c>
      <c r="K93" s="26">
        <v>89462</v>
      </c>
      <c r="L93" s="10">
        <v>5753</v>
      </c>
      <c r="M93" s="49">
        <v>391</v>
      </c>
      <c r="N93" s="46">
        <f t="shared" si="8"/>
        <v>211716</v>
      </c>
      <c r="O93" s="50">
        <f t="shared" si="6"/>
        <v>9.998923201604997</v>
      </c>
      <c r="P93" s="30">
        <f>D93+E93-N93</f>
        <v>14393.679999999993</v>
      </c>
    </row>
    <row r="94" spans="1:16" ht="12.75">
      <c r="A94" s="10">
        <v>4</v>
      </c>
      <c r="B94" s="5" t="s">
        <v>176</v>
      </c>
      <c r="C94" s="13">
        <v>1879.75</v>
      </c>
      <c r="D94" s="25">
        <v>8536</v>
      </c>
      <c r="E94" s="38">
        <f t="shared" si="9"/>
        <v>57383.95</v>
      </c>
      <c r="F94" s="13">
        <v>57383.95</v>
      </c>
      <c r="G94" s="37">
        <v>0</v>
      </c>
      <c r="H94" s="26">
        <v>14327</v>
      </c>
      <c r="I94" s="25">
        <v>18902</v>
      </c>
      <c r="J94" s="46">
        <f t="shared" si="7"/>
        <v>33229</v>
      </c>
      <c r="K94" s="26">
        <v>19364</v>
      </c>
      <c r="L94" s="10">
        <v>1235</v>
      </c>
      <c r="M94" s="25">
        <v>104</v>
      </c>
      <c r="N94" s="46">
        <f t="shared" si="8"/>
        <v>53932</v>
      </c>
      <c r="O94" s="50">
        <f t="shared" si="6"/>
        <v>9.563683113889258</v>
      </c>
      <c r="P94" s="30">
        <f>D94+E94-N94</f>
        <v>11987.949999999997</v>
      </c>
    </row>
    <row r="95" spans="1:16" ht="12.75">
      <c r="A95" s="10">
        <v>5</v>
      </c>
      <c r="B95" s="5" t="s">
        <v>177</v>
      </c>
      <c r="C95" s="13">
        <v>4438.99</v>
      </c>
      <c r="D95" s="25">
        <v>18411</v>
      </c>
      <c r="E95" s="38">
        <f t="shared" si="9"/>
        <v>169998.26</v>
      </c>
      <c r="F95" s="13">
        <v>169998.26</v>
      </c>
      <c r="G95" s="37">
        <v>0</v>
      </c>
      <c r="H95" s="26">
        <v>33878</v>
      </c>
      <c r="I95" s="25">
        <v>45350</v>
      </c>
      <c r="J95" s="46">
        <f t="shared" si="7"/>
        <v>79228</v>
      </c>
      <c r="K95" s="26">
        <v>53566</v>
      </c>
      <c r="L95" s="10">
        <v>3618</v>
      </c>
      <c r="M95" s="25">
        <v>246</v>
      </c>
      <c r="N95" s="46">
        <f t="shared" si="8"/>
        <v>136658</v>
      </c>
      <c r="O95" s="50">
        <f t="shared" si="6"/>
        <v>10.26194397073809</v>
      </c>
      <c r="P95" s="30">
        <f>D95+E95-N95</f>
        <v>51751.26000000001</v>
      </c>
    </row>
    <row r="96" spans="1:16" ht="12.75">
      <c r="A96" s="10">
        <v>6</v>
      </c>
      <c r="B96" s="5" t="s">
        <v>178</v>
      </c>
      <c r="C96" s="13">
        <v>7001.3</v>
      </c>
      <c r="D96" s="25">
        <v>31522</v>
      </c>
      <c r="E96" s="38">
        <f t="shared" si="9"/>
        <v>200888.16</v>
      </c>
      <c r="F96" s="13">
        <v>200888.16</v>
      </c>
      <c r="G96" s="37">
        <v>0</v>
      </c>
      <c r="H96" s="26">
        <v>53434</v>
      </c>
      <c r="I96" s="25">
        <v>60251</v>
      </c>
      <c r="J96" s="46">
        <f t="shared" si="7"/>
        <v>113685</v>
      </c>
      <c r="K96" s="26">
        <v>78887</v>
      </c>
      <c r="L96" s="10">
        <v>5707</v>
      </c>
      <c r="M96" s="49">
        <v>388</v>
      </c>
      <c r="N96" s="46">
        <f t="shared" si="8"/>
        <v>198667</v>
      </c>
      <c r="O96" s="50">
        <f t="shared" si="6"/>
        <v>9.458576740510095</v>
      </c>
      <c r="P96" s="30">
        <f>D96+E96-N96</f>
        <v>33743.16</v>
      </c>
    </row>
    <row r="97" spans="1:16" ht="12.75">
      <c r="A97" s="10">
        <v>7</v>
      </c>
      <c r="B97" s="5" t="s">
        <v>179</v>
      </c>
      <c r="C97" s="13">
        <v>3606.62</v>
      </c>
      <c r="D97" s="25">
        <v>-29661</v>
      </c>
      <c r="E97" s="38">
        <f t="shared" si="9"/>
        <v>205321.02</v>
      </c>
      <c r="F97" s="13">
        <v>205321.02</v>
      </c>
      <c r="G97" s="37">
        <v>0</v>
      </c>
      <c r="H97" s="26">
        <v>27526</v>
      </c>
      <c r="I97" s="25">
        <v>32393</v>
      </c>
      <c r="J97" s="46">
        <f t="shared" si="7"/>
        <v>59919</v>
      </c>
      <c r="K97" s="26">
        <v>223792</v>
      </c>
      <c r="L97" s="10">
        <v>2940</v>
      </c>
      <c r="M97" s="25">
        <v>200</v>
      </c>
      <c r="N97" s="46">
        <f t="shared" si="8"/>
        <v>286851</v>
      </c>
      <c r="O97" s="50">
        <f t="shared" si="6"/>
        <v>26.511526027138984</v>
      </c>
      <c r="P97" s="30">
        <f>F97-N97-29661</f>
        <v>-111190.98000000001</v>
      </c>
    </row>
    <row r="98" spans="1:16" ht="12.75">
      <c r="A98" s="10">
        <v>8</v>
      </c>
      <c r="B98" s="5" t="s">
        <v>180</v>
      </c>
      <c r="C98" s="13">
        <v>3594.55</v>
      </c>
      <c r="D98" s="25">
        <v>-1243</v>
      </c>
      <c r="E98" s="38">
        <f t="shared" si="9"/>
        <v>93472.41</v>
      </c>
      <c r="F98" s="13">
        <v>92491.27</v>
      </c>
      <c r="G98" s="37">
        <v>981.14</v>
      </c>
      <c r="H98" s="26">
        <v>27434</v>
      </c>
      <c r="I98" s="25">
        <v>32504</v>
      </c>
      <c r="J98" s="46">
        <f t="shared" si="7"/>
        <v>59938</v>
      </c>
      <c r="K98" s="26">
        <v>39064</v>
      </c>
      <c r="L98" s="10">
        <v>3515</v>
      </c>
      <c r="M98" s="25">
        <v>199</v>
      </c>
      <c r="N98" s="46">
        <f t="shared" si="8"/>
        <v>102716</v>
      </c>
      <c r="O98" s="50">
        <f t="shared" si="6"/>
        <v>9.52516077580411</v>
      </c>
      <c r="P98" s="30">
        <f>E98-N98-1243</f>
        <v>-10486.589999999997</v>
      </c>
    </row>
    <row r="99" spans="1:16" ht="12.75">
      <c r="A99" s="10">
        <v>9</v>
      </c>
      <c r="B99" s="5" t="s">
        <v>181</v>
      </c>
      <c r="C99" s="13">
        <v>3239.7</v>
      </c>
      <c r="D99" s="25">
        <v>20979</v>
      </c>
      <c r="E99" s="38">
        <f t="shared" si="9"/>
        <v>99493.96</v>
      </c>
      <c r="F99" s="13">
        <v>95293.96</v>
      </c>
      <c r="G99" s="37">
        <v>4200</v>
      </c>
      <c r="H99" s="26">
        <v>24725</v>
      </c>
      <c r="I99" s="25">
        <v>33833</v>
      </c>
      <c r="J99" s="46">
        <f t="shared" si="7"/>
        <v>58558</v>
      </c>
      <c r="K99" s="26">
        <v>64184</v>
      </c>
      <c r="L99" s="10">
        <v>2641</v>
      </c>
      <c r="M99" s="25">
        <v>180</v>
      </c>
      <c r="N99" s="46">
        <f t="shared" si="8"/>
        <v>125563</v>
      </c>
      <c r="O99" s="50">
        <f t="shared" si="6"/>
        <v>12.919200337479808</v>
      </c>
      <c r="P99" s="30">
        <f>D99+E99-N99</f>
        <v>-5090.039999999994</v>
      </c>
    </row>
    <row r="100" spans="1:16" ht="12.75">
      <c r="A100" s="10">
        <v>10</v>
      </c>
      <c r="B100" s="5" t="s">
        <v>182</v>
      </c>
      <c r="C100" s="13">
        <v>3613.83</v>
      </c>
      <c r="D100" s="25">
        <v>-34530</v>
      </c>
      <c r="E100" s="38">
        <f t="shared" si="9"/>
        <v>89242.95</v>
      </c>
      <c r="F100" s="13">
        <v>89242.95</v>
      </c>
      <c r="G100" s="37">
        <v>0</v>
      </c>
      <c r="H100" s="26">
        <v>27581</v>
      </c>
      <c r="I100" s="25">
        <v>32469</v>
      </c>
      <c r="J100" s="46">
        <f t="shared" si="7"/>
        <v>60050</v>
      </c>
      <c r="K100" s="26">
        <v>59078</v>
      </c>
      <c r="L100" s="10">
        <v>2946</v>
      </c>
      <c r="M100" s="25">
        <v>200</v>
      </c>
      <c r="N100" s="46">
        <f t="shared" si="8"/>
        <v>122274</v>
      </c>
      <c r="O100" s="50">
        <f t="shared" si="6"/>
        <v>11.27833904749255</v>
      </c>
      <c r="P100" s="30">
        <f>E100-N100-34530</f>
        <v>-67561.05</v>
      </c>
    </row>
    <row r="101" spans="1:16" ht="12.75">
      <c r="A101" s="10">
        <v>11</v>
      </c>
      <c r="B101" s="5" t="s">
        <v>183</v>
      </c>
      <c r="C101" s="13">
        <v>3614.21</v>
      </c>
      <c r="D101" s="25">
        <v>-1166</v>
      </c>
      <c r="E101" s="38">
        <f t="shared" si="9"/>
        <v>105556.44</v>
      </c>
      <c r="F101" s="13">
        <v>105556.44</v>
      </c>
      <c r="G101" s="37">
        <v>0</v>
      </c>
      <c r="H101" s="26">
        <v>27584</v>
      </c>
      <c r="I101" s="25">
        <v>32972</v>
      </c>
      <c r="J101" s="46">
        <f t="shared" si="7"/>
        <v>60556</v>
      </c>
      <c r="K101" s="26">
        <v>95104</v>
      </c>
      <c r="L101" s="10">
        <v>2946</v>
      </c>
      <c r="M101" s="25">
        <v>200</v>
      </c>
      <c r="N101" s="46">
        <f t="shared" si="8"/>
        <v>158806</v>
      </c>
      <c r="O101" s="50">
        <f t="shared" si="6"/>
        <v>14.646446480235882</v>
      </c>
      <c r="P101" s="30">
        <f>E101-N101-1166</f>
        <v>-54415.56</v>
      </c>
    </row>
    <row r="102" spans="1:16" ht="12.75">
      <c r="A102" s="10">
        <v>12</v>
      </c>
      <c r="B102" s="5" t="s">
        <v>184</v>
      </c>
      <c r="C102" s="13">
        <v>3644.1</v>
      </c>
      <c r="D102" s="25">
        <v>-12155</v>
      </c>
      <c r="E102" s="38">
        <f t="shared" si="9"/>
        <v>108033.65</v>
      </c>
      <c r="F102" s="13">
        <v>108033.65</v>
      </c>
      <c r="G102" s="37">
        <v>0</v>
      </c>
      <c r="H102" s="26">
        <v>27812</v>
      </c>
      <c r="I102" s="25">
        <v>35862</v>
      </c>
      <c r="J102" s="46">
        <f t="shared" si="7"/>
        <v>63674</v>
      </c>
      <c r="K102" s="26">
        <v>37611</v>
      </c>
      <c r="L102" s="10">
        <v>2970</v>
      </c>
      <c r="M102" s="25">
        <v>202</v>
      </c>
      <c r="N102" s="46">
        <f t="shared" si="8"/>
        <v>104457</v>
      </c>
      <c r="O102" s="50">
        <f t="shared" si="6"/>
        <v>9.55489695672457</v>
      </c>
      <c r="P102" s="30">
        <f>E102-N102-12155</f>
        <v>-8578.350000000006</v>
      </c>
    </row>
    <row r="103" spans="1:16" ht="12.75">
      <c r="A103" s="10">
        <v>13</v>
      </c>
      <c r="B103" s="5" t="s">
        <v>185</v>
      </c>
      <c r="C103" s="13">
        <v>3605.33</v>
      </c>
      <c r="D103" s="32">
        <v>-4578</v>
      </c>
      <c r="E103" s="38">
        <f t="shared" si="9"/>
        <v>110371.51000000001</v>
      </c>
      <c r="F103" s="13">
        <v>108115.44</v>
      </c>
      <c r="G103" s="37">
        <v>2256.07</v>
      </c>
      <c r="H103" s="26">
        <v>27516</v>
      </c>
      <c r="I103" s="25">
        <v>33516</v>
      </c>
      <c r="J103" s="46">
        <f t="shared" si="7"/>
        <v>61032</v>
      </c>
      <c r="K103" s="26">
        <v>50833</v>
      </c>
      <c r="L103" s="10">
        <v>2939</v>
      </c>
      <c r="M103" s="25">
        <v>200</v>
      </c>
      <c r="N103" s="46">
        <f t="shared" si="8"/>
        <v>115004</v>
      </c>
      <c r="O103" s="50">
        <f t="shared" si="6"/>
        <v>10.632776102788556</v>
      </c>
      <c r="P103" s="30">
        <f>E103-N103-4578</f>
        <v>-9210.48999999999</v>
      </c>
    </row>
    <row r="104" spans="1:16" ht="12.75">
      <c r="A104" s="10">
        <v>14</v>
      </c>
      <c r="B104" s="5" t="s">
        <v>186</v>
      </c>
      <c r="C104" s="13">
        <v>1849.2</v>
      </c>
      <c r="D104" s="25">
        <v>-27967</v>
      </c>
      <c r="E104" s="38">
        <f t="shared" si="9"/>
        <v>31919.23</v>
      </c>
      <c r="F104" s="13">
        <v>31919.23</v>
      </c>
      <c r="G104" s="37">
        <v>0</v>
      </c>
      <c r="H104" s="26">
        <v>14113</v>
      </c>
      <c r="I104" s="25">
        <v>23422</v>
      </c>
      <c r="J104" s="46">
        <f t="shared" si="7"/>
        <v>37535</v>
      </c>
      <c r="K104" s="26">
        <v>13196</v>
      </c>
      <c r="L104" s="10">
        <v>1507</v>
      </c>
      <c r="M104" s="25">
        <v>102</v>
      </c>
      <c r="N104" s="46">
        <f t="shared" si="8"/>
        <v>52340</v>
      </c>
      <c r="O104" s="50">
        <f t="shared" si="6"/>
        <v>9.434710505443794</v>
      </c>
      <c r="P104" s="30">
        <f>E104-N104-27967</f>
        <v>-48387.770000000004</v>
      </c>
    </row>
    <row r="105" spans="1:16" ht="12.75">
      <c r="A105" s="10">
        <v>15</v>
      </c>
      <c r="B105" s="5" t="s">
        <v>187</v>
      </c>
      <c r="C105" s="13">
        <v>3604.48</v>
      </c>
      <c r="D105" s="25">
        <v>-33519</v>
      </c>
      <c r="E105" s="38">
        <f t="shared" si="9"/>
        <v>91675.48</v>
      </c>
      <c r="F105" s="13">
        <v>91675.48</v>
      </c>
      <c r="G105" s="37">
        <v>0</v>
      </c>
      <c r="H105" s="26">
        <v>27509</v>
      </c>
      <c r="I105" s="25">
        <v>33566</v>
      </c>
      <c r="J105" s="46">
        <f t="shared" si="7"/>
        <v>61075</v>
      </c>
      <c r="K105" s="26">
        <v>52363</v>
      </c>
      <c r="L105" s="10">
        <v>2938</v>
      </c>
      <c r="M105" s="25">
        <v>200</v>
      </c>
      <c r="N105" s="46">
        <f t="shared" si="8"/>
        <v>116576</v>
      </c>
      <c r="O105" s="50">
        <f t="shared" si="6"/>
        <v>10.780658143939393</v>
      </c>
      <c r="P105" s="30">
        <f>E105-N105-33519</f>
        <v>-58419.520000000004</v>
      </c>
    </row>
    <row r="106" spans="1:16" ht="12.75">
      <c r="A106" s="10">
        <v>16</v>
      </c>
      <c r="B106" s="5" t="s">
        <v>188</v>
      </c>
      <c r="C106" s="13">
        <v>3618.73</v>
      </c>
      <c r="D106" s="25">
        <v>-6163</v>
      </c>
      <c r="E106" s="38">
        <f t="shared" si="9"/>
        <v>105078.01</v>
      </c>
      <c r="F106" s="13">
        <v>105078.01</v>
      </c>
      <c r="G106" s="37">
        <v>0</v>
      </c>
      <c r="H106" s="26">
        <v>27618</v>
      </c>
      <c r="I106" s="25">
        <v>39384</v>
      </c>
      <c r="J106" s="46">
        <f t="shared" si="7"/>
        <v>67002</v>
      </c>
      <c r="K106" s="26">
        <v>67634</v>
      </c>
      <c r="L106" s="10">
        <v>3060</v>
      </c>
      <c r="M106" s="25">
        <v>200</v>
      </c>
      <c r="N106" s="46">
        <f t="shared" si="8"/>
        <v>137896</v>
      </c>
      <c r="O106" s="50">
        <f t="shared" si="6"/>
        <v>12.702062141506367</v>
      </c>
      <c r="P106" s="30">
        <f>E106-N106-6163</f>
        <v>-38980.990000000005</v>
      </c>
    </row>
    <row r="107" spans="1:16" ht="12.75">
      <c r="A107" s="10">
        <v>17</v>
      </c>
      <c r="B107" s="5" t="s">
        <v>189</v>
      </c>
      <c r="C107" s="13">
        <v>3887.7</v>
      </c>
      <c r="D107" s="25">
        <v>16339</v>
      </c>
      <c r="E107" s="38">
        <f t="shared" si="9"/>
        <v>133748.63</v>
      </c>
      <c r="F107" s="10">
        <v>133748.63</v>
      </c>
      <c r="G107" s="37">
        <v>0</v>
      </c>
      <c r="H107" s="26">
        <v>29671</v>
      </c>
      <c r="I107" s="25">
        <v>37098</v>
      </c>
      <c r="J107" s="46">
        <f>H107+I107</f>
        <v>66769</v>
      </c>
      <c r="K107" s="26">
        <v>115095</v>
      </c>
      <c r="L107" s="10">
        <v>3169</v>
      </c>
      <c r="M107" s="25">
        <v>215</v>
      </c>
      <c r="N107" s="46">
        <f>J107+K107+L107+M107</f>
        <v>185248</v>
      </c>
      <c r="O107" s="50">
        <f>N107/C107/3</f>
        <v>15.883255738182816</v>
      </c>
      <c r="P107" s="30">
        <f>E107-N107+16339</f>
        <v>-35160.369999999995</v>
      </c>
    </row>
    <row r="108" spans="1:16" ht="12.75">
      <c r="A108" s="10">
        <v>18</v>
      </c>
      <c r="B108" s="5" t="s">
        <v>190</v>
      </c>
      <c r="C108" s="13">
        <v>3615.45</v>
      </c>
      <c r="D108" s="25">
        <v>-9324</v>
      </c>
      <c r="E108" s="38">
        <f>F108+G108</f>
        <v>93390</v>
      </c>
      <c r="F108" s="13">
        <v>93390</v>
      </c>
      <c r="G108" s="37">
        <v>0</v>
      </c>
      <c r="H108" s="26">
        <v>27593</v>
      </c>
      <c r="I108" s="25">
        <v>33892</v>
      </c>
      <c r="J108" s="46">
        <f>H108+I108</f>
        <v>61485</v>
      </c>
      <c r="K108" s="26">
        <v>112680</v>
      </c>
      <c r="L108" s="10">
        <v>2947</v>
      </c>
      <c r="M108" s="25">
        <v>200</v>
      </c>
      <c r="N108" s="46">
        <f>J108+K108+L108+M108</f>
        <v>177312</v>
      </c>
      <c r="O108" s="50">
        <f>N108/C107/3</f>
        <v>15.202819147567972</v>
      </c>
      <c r="P108" s="30">
        <f>E108-N108-9324</f>
        <v>-93246</v>
      </c>
    </row>
    <row r="109" spans="1:16" ht="12.75">
      <c r="A109" s="10">
        <v>19</v>
      </c>
      <c r="B109" s="5" t="s">
        <v>191</v>
      </c>
      <c r="C109" s="13">
        <v>2678.39</v>
      </c>
      <c r="D109" s="25">
        <v>-1656</v>
      </c>
      <c r="E109" s="38">
        <f>F109+G109</f>
        <v>79745.75</v>
      </c>
      <c r="F109" s="13">
        <v>79745.75</v>
      </c>
      <c r="G109" s="37">
        <v>0</v>
      </c>
      <c r="H109" s="26">
        <v>20441</v>
      </c>
      <c r="I109" s="25">
        <v>28008</v>
      </c>
      <c r="J109" s="46">
        <f>H109+I109</f>
        <v>48449</v>
      </c>
      <c r="K109" s="26">
        <v>51120</v>
      </c>
      <c r="L109" s="10">
        <v>2183</v>
      </c>
      <c r="M109" s="25">
        <v>148</v>
      </c>
      <c r="N109" s="46">
        <f>J109+K109+L109+M109</f>
        <v>101900</v>
      </c>
      <c r="O109" s="50">
        <f>N109/3/C109</f>
        <v>12.681747865944342</v>
      </c>
      <c r="P109" s="30">
        <f>E109-N109-1656</f>
        <v>-23810.25</v>
      </c>
    </row>
    <row r="110" spans="1:16" ht="12.75">
      <c r="A110" s="10">
        <v>20</v>
      </c>
      <c r="B110" s="5" t="s">
        <v>192</v>
      </c>
      <c r="C110" s="13">
        <v>3614.83</v>
      </c>
      <c r="D110" s="25">
        <v>-77690</v>
      </c>
      <c r="E110" s="38">
        <f t="shared" si="9"/>
        <v>112121.34</v>
      </c>
      <c r="F110" s="13">
        <v>112121.34</v>
      </c>
      <c r="G110" s="37">
        <v>0</v>
      </c>
      <c r="H110" s="26">
        <v>27588</v>
      </c>
      <c r="I110" s="25">
        <v>29202</v>
      </c>
      <c r="J110" s="46">
        <f t="shared" si="7"/>
        <v>56790</v>
      </c>
      <c r="K110" s="26">
        <v>121470</v>
      </c>
      <c r="L110" s="10">
        <v>1598</v>
      </c>
      <c r="M110" s="25">
        <v>200</v>
      </c>
      <c r="N110" s="46">
        <f t="shared" si="8"/>
        <v>180058</v>
      </c>
      <c r="O110" s="50">
        <f t="shared" si="6"/>
        <v>16.60363926749898</v>
      </c>
      <c r="P110" s="30">
        <f>E110-N110-77690</f>
        <v>-145626.66</v>
      </c>
    </row>
    <row r="111" spans="1:16" ht="12.75">
      <c r="A111" s="10">
        <v>21</v>
      </c>
      <c r="B111" s="5" t="s">
        <v>193</v>
      </c>
      <c r="C111" s="13">
        <v>3608.85</v>
      </c>
      <c r="D111" s="25">
        <v>-1363</v>
      </c>
      <c r="E111" s="38">
        <f t="shared" si="9"/>
        <v>116242.32999999999</v>
      </c>
      <c r="F111" s="13">
        <v>115203.93</v>
      </c>
      <c r="G111" s="37">
        <v>1038.4</v>
      </c>
      <c r="H111" s="26">
        <v>27543</v>
      </c>
      <c r="I111" s="25">
        <v>32551</v>
      </c>
      <c r="J111" s="46">
        <f t="shared" si="7"/>
        <v>60094</v>
      </c>
      <c r="K111" s="26">
        <v>126036</v>
      </c>
      <c r="L111" s="10">
        <v>2942</v>
      </c>
      <c r="M111" s="25">
        <v>200</v>
      </c>
      <c r="N111" s="46">
        <f t="shared" si="8"/>
        <v>189272</v>
      </c>
      <c r="O111" s="50">
        <f t="shared" si="6"/>
        <v>17.48220809029654</v>
      </c>
      <c r="P111" s="30">
        <f>E111-N111-1363</f>
        <v>-74392.67000000001</v>
      </c>
    </row>
    <row r="112" spans="1:16" ht="12.75">
      <c r="A112" s="10">
        <v>22</v>
      </c>
      <c r="B112" s="5" t="s">
        <v>194</v>
      </c>
      <c r="C112" s="13">
        <v>3608.24</v>
      </c>
      <c r="D112" s="25">
        <v>-5356</v>
      </c>
      <c r="E112" s="38">
        <f t="shared" si="9"/>
        <v>94150.22</v>
      </c>
      <c r="F112" s="13">
        <v>94150.22</v>
      </c>
      <c r="G112" s="37">
        <v>0</v>
      </c>
      <c r="H112" s="26">
        <v>27538</v>
      </c>
      <c r="I112" s="25">
        <v>29465</v>
      </c>
      <c r="J112" s="46">
        <f t="shared" si="7"/>
        <v>57003</v>
      </c>
      <c r="K112" s="26">
        <v>35612</v>
      </c>
      <c r="L112" s="10">
        <v>2941</v>
      </c>
      <c r="M112" s="25">
        <v>200</v>
      </c>
      <c r="N112" s="46">
        <f t="shared" si="8"/>
        <v>95756</v>
      </c>
      <c r="O112" s="50">
        <f t="shared" si="6"/>
        <v>8.84604867377632</v>
      </c>
      <c r="P112" s="30">
        <f>E112-N112-5356</f>
        <v>-6961.779999999999</v>
      </c>
    </row>
    <row r="113" spans="1:16" ht="12.75">
      <c r="A113" s="10">
        <v>23</v>
      </c>
      <c r="B113" s="5" t="s">
        <v>195</v>
      </c>
      <c r="C113" s="13">
        <v>2527.69</v>
      </c>
      <c r="D113" s="25">
        <v>-16312</v>
      </c>
      <c r="E113" s="38">
        <f t="shared" si="9"/>
        <v>74190.4</v>
      </c>
      <c r="F113" s="13">
        <v>74190.4</v>
      </c>
      <c r="G113" s="37">
        <v>0</v>
      </c>
      <c r="H113" s="26">
        <v>19291</v>
      </c>
      <c r="I113" s="25">
        <v>25843</v>
      </c>
      <c r="J113" s="46">
        <f t="shared" si="7"/>
        <v>45134</v>
      </c>
      <c r="K113" s="26">
        <v>48304</v>
      </c>
      <c r="L113" s="10">
        <v>2060</v>
      </c>
      <c r="M113" s="25">
        <v>140</v>
      </c>
      <c r="N113" s="46">
        <f t="shared" si="8"/>
        <v>95638</v>
      </c>
      <c r="O113" s="50">
        <f t="shared" si="6"/>
        <v>12.612042352239923</v>
      </c>
      <c r="P113" s="30">
        <f>E113-N113-16312</f>
        <v>-37759.600000000006</v>
      </c>
    </row>
    <row r="114" spans="1:16" ht="12.75">
      <c r="A114" s="10">
        <v>24</v>
      </c>
      <c r="B114" s="5" t="s">
        <v>196</v>
      </c>
      <c r="C114" s="13">
        <v>3613.63</v>
      </c>
      <c r="D114" s="25">
        <v>-1913</v>
      </c>
      <c r="E114" s="38">
        <f t="shared" si="9"/>
        <v>91444.91</v>
      </c>
      <c r="F114" s="13">
        <v>86943.88</v>
      </c>
      <c r="G114" s="37">
        <v>4501.03</v>
      </c>
      <c r="H114" s="26">
        <v>27579</v>
      </c>
      <c r="I114" s="25">
        <v>30580</v>
      </c>
      <c r="J114" s="46">
        <f t="shared" si="7"/>
        <v>58159</v>
      </c>
      <c r="K114" s="26">
        <v>39792</v>
      </c>
      <c r="L114" s="10">
        <v>2945</v>
      </c>
      <c r="M114" s="25">
        <v>200</v>
      </c>
      <c r="N114" s="46">
        <f t="shared" si="8"/>
        <v>101096</v>
      </c>
      <c r="O114" s="50">
        <f t="shared" si="6"/>
        <v>9.325433612922923</v>
      </c>
      <c r="P114" s="30">
        <f>E114-N114-1913</f>
        <v>-11564.089999999997</v>
      </c>
    </row>
    <row r="115" spans="1:16" ht="12.75">
      <c r="A115" s="10">
        <v>25</v>
      </c>
      <c r="B115" s="5" t="s">
        <v>197</v>
      </c>
      <c r="C115" s="13">
        <v>3657.15</v>
      </c>
      <c r="D115" s="25">
        <v>-22912</v>
      </c>
      <c r="E115" s="38">
        <f t="shared" si="9"/>
        <v>140151.2</v>
      </c>
      <c r="F115" s="13">
        <v>140151.2</v>
      </c>
      <c r="G115" s="37">
        <v>0</v>
      </c>
      <c r="H115" s="26">
        <v>27911</v>
      </c>
      <c r="I115" s="25">
        <v>31033</v>
      </c>
      <c r="J115" s="46">
        <f t="shared" si="7"/>
        <v>58944</v>
      </c>
      <c r="K115" s="26">
        <v>164648</v>
      </c>
      <c r="L115" s="10">
        <v>2981</v>
      </c>
      <c r="M115" s="25">
        <v>203</v>
      </c>
      <c r="N115" s="46">
        <f t="shared" si="8"/>
        <v>226776</v>
      </c>
      <c r="O115" s="50">
        <f t="shared" si="6"/>
        <v>20.66964712959545</v>
      </c>
      <c r="P115" s="30">
        <f>E115-N115-22912</f>
        <v>-109536.79999999999</v>
      </c>
    </row>
    <row r="116" spans="1:16" ht="12.75">
      <c r="A116" s="10">
        <v>26</v>
      </c>
      <c r="B116" s="5" t="s">
        <v>198</v>
      </c>
      <c r="C116" s="13">
        <v>3613.94</v>
      </c>
      <c r="D116" s="25">
        <v>17732</v>
      </c>
      <c r="E116" s="38">
        <f t="shared" si="9"/>
        <v>100594.6</v>
      </c>
      <c r="F116" s="13">
        <v>94588.03</v>
      </c>
      <c r="G116" s="37">
        <v>6006.57</v>
      </c>
      <c r="H116" s="26">
        <v>27582</v>
      </c>
      <c r="I116" s="25">
        <v>31665</v>
      </c>
      <c r="J116" s="46">
        <f t="shared" si="7"/>
        <v>59247</v>
      </c>
      <c r="K116" s="26">
        <v>75719</v>
      </c>
      <c r="L116" s="10">
        <v>2946</v>
      </c>
      <c r="M116" s="25">
        <v>200</v>
      </c>
      <c r="N116" s="46">
        <f t="shared" si="8"/>
        <v>138112</v>
      </c>
      <c r="O116" s="50">
        <f t="shared" si="6"/>
        <v>12.738820603920743</v>
      </c>
      <c r="P116" s="30">
        <f>E116-N116+17732</f>
        <v>-19785.399999999994</v>
      </c>
    </row>
    <row r="117" spans="1:16" ht="12.75">
      <c r="A117" s="10">
        <v>27</v>
      </c>
      <c r="B117" s="5" t="s">
        <v>199</v>
      </c>
      <c r="C117" s="13">
        <v>3619.08</v>
      </c>
      <c r="D117" s="25">
        <v>-39814</v>
      </c>
      <c r="E117" s="38">
        <f t="shared" si="9"/>
        <v>124223.86</v>
      </c>
      <c r="F117" s="13">
        <v>124223.86</v>
      </c>
      <c r="G117" s="37">
        <v>0</v>
      </c>
      <c r="H117" s="26">
        <v>27621</v>
      </c>
      <c r="I117" s="25">
        <v>33642</v>
      </c>
      <c r="J117" s="46">
        <f t="shared" si="7"/>
        <v>61263</v>
      </c>
      <c r="K117" s="26">
        <v>221738</v>
      </c>
      <c r="L117" s="10">
        <v>2950</v>
      </c>
      <c r="M117" s="25">
        <v>200</v>
      </c>
      <c r="N117" s="46">
        <f t="shared" si="8"/>
        <v>286151</v>
      </c>
      <c r="O117" s="50">
        <f t="shared" si="6"/>
        <v>26.355777343044824</v>
      </c>
      <c r="P117" s="30">
        <f>E117-N117-39814</f>
        <v>-201741.14</v>
      </c>
    </row>
    <row r="118" spans="1:16" ht="12.75">
      <c r="A118" s="10">
        <v>28</v>
      </c>
      <c r="B118" s="5" t="s">
        <v>200</v>
      </c>
      <c r="C118" s="13">
        <v>3626.99</v>
      </c>
      <c r="D118" s="25">
        <v>63</v>
      </c>
      <c r="E118" s="38">
        <f t="shared" si="9"/>
        <v>100098.33</v>
      </c>
      <c r="F118" s="13">
        <v>100098.33</v>
      </c>
      <c r="G118" s="37">
        <v>0</v>
      </c>
      <c r="H118" s="26">
        <v>27681</v>
      </c>
      <c r="I118" s="25">
        <v>30383</v>
      </c>
      <c r="J118" s="46">
        <f t="shared" si="7"/>
        <v>58064</v>
      </c>
      <c r="K118" s="26">
        <v>48970</v>
      </c>
      <c r="L118" s="10">
        <v>2956</v>
      </c>
      <c r="M118" s="25">
        <v>201</v>
      </c>
      <c r="N118" s="46">
        <f t="shared" si="8"/>
        <v>110191</v>
      </c>
      <c r="O118" s="50">
        <f t="shared" si="6"/>
        <v>10.126946402756372</v>
      </c>
      <c r="P118" s="30">
        <f>E118-N118+63</f>
        <v>-10029.669999999998</v>
      </c>
    </row>
    <row r="119" spans="1:16" ht="12.75">
      <c r="A119" s="10">
        <v>29</v>
      </c>
      <c r="B119" s="5" t="s">
        <v>201</v>
      </c>
      <c r="C119" s="13">
        <v>3621.21</v>
      </c>
      <c r="D119" s="25">
        <v>-11671</v>
      </c>
      <c r="E119" s="38">
        <f t="shared" si="9"/>
        <v>91245.23</v>
      </c>
      <c r="F119" s="13">
        <v>91245.23</v>
      </c>
      <c r="G119" s="37">
        <v>0</v>
      </c>
      <c r="H119" s="26">
        <v>27637</v>
      </c>
      <c r="I119" s="25">
        <v>31699</v>
      </c>
      <c r="J119" s="46">
        <f t="shared" si="7"/>
        <v>59336</v>
      </c>
      <c r="K119" s="26">
        <v>59142</v>
      </c>
      <c r="L119" s="10">
        <v>2952</v>
      </c>
      <c r="M119" s="25">
        <v>201</v>
      </c>
      <c r="N119" s="46">
        <f t="shared" si="8"/>
        <v>121631</v>
      </c>
      <c r="O119" s="50">
        <f t="shared" si="6"/>
        <v>11.196165554239236</v>
      </c>
      <c r="P119" s="30">
        <f>E119-N119-11671</f>
        <v>-42056.770000000004</v>
      </c>
    </row>
    <row r="120" spans="1:16" ht="12.75">
      <c r="A120" s="10">
        <v>30</v>
      </c>
      <c r="B120" s="5" t="s">
        <v>202</v>
      </c>
      <c r="C120" s="13">
        <v>3616.22</v>
      </c>
      <c r="D120" s="25">
        <v>20568</v>
      </c>
      <c r="E120" s="38">
        <f t="shared" si="9"/>
        <v>105370.13</v>
      </c>
      <c r="F120" s="13">
        <v>105370.13</v>
      </c>
      <c r="G120" s="37">
        <v>0</v>
      </c>
      <c r="H120" s="26">
        <v>27599</v>
      </c>
      <c r="I120" s="25">
        <v>31978</v>
      </c>
      <c r="J120" s="46">
        <f t="shared" si="7"/>
        <v>59577</v>
      </c>
      <c r="K120" s="26">
        <v>42553</v>
      </c>
      <c r="L120" s="10">
        <v>2948</v>
      </c>
      <c r="M120" s="25">
        <v>200</v>
      </c>
      <c r="N120" s="46">
        <f t="shared" si="8"/>
        <v>105278</v>
      </c>
      <c r="O120" s="50">
        <f t="shared" si="6"/>
        <v>9.704239970650754</v>
      </c>
      <c r="P120" s="30">
        <f>E120-N120+20568</f>
        <v>20660.130000000005</v>
      </c>
    </row>
    <row r="121" spans="1:16" ht="12.75">
      <c r="A121" s="10">
        <v>31</v>
      </c>
      <c r="B121" s="5" t="s">
        <v>203</v>
      </c>
      <c r="C121" s="13">
        <v>3641.89</v>
      </c>
      <c r="D121" s="25">
        <v>-7469</v>
      </c>
      <c r="E121" s="38">
        <f t="shared" si="9"/>
        <v>107034.45</v>
      </c>
      <c r="F121" s="13">
        <v>107034.45</v>
      </c>
      <c r="G121" s="37">
        <v>0</v>
      </c>
      <c r="H121" s="26">
        <v>27795</v>
      </c>
      <c r="I121" s="25">
        <v>32291</v>
      </c>
      <c r="J121" s="46">
        <f t="shared" si="7"/>
        <v>60086</v>
      </c>
      <c r="K121" s="26">
        <v>98003</v>
      </c>
      <c r="L121" s="10">
        <v>2968</v>
      </c>
      <c r="M121" s="25">
        <v>202</v>
      </c>
      <c r="N121" s="46">
        <f t="shared" si="8"/>
        <v>161259</v>
      </c>
      <c r="O121" s="50">
        <f t="shared" si="6"/>
        <v>14.759644030983914</v>
      </c>
      <c r="P121" s="30">
        <f>E121-N121-7469</f>
        <v>-61693.55</v>
      </c>
    </row>
    <row r="122" spans="1:16" ht="12.75">
      <c r="A122" s="10">
        <v>32</v>
      </c>
      <c r="B122" s="5" t="s">
        <v>204</v>
      </c>
      <c r="C122" s="13">
        <v>3803.6</v>
      </c>
      <c r="D122" s="25">
        <v>940</v>
      </c>
      <c r="E122" s="38">
        <f t="shared" si="9"/>
        <v>104635.1</v>
      </c>
      <c r="F122" s="13">
        <v>104635.1</v>
      </c>
      <c r="G122" s="37">
        <v>0</v>
      </c>
      <c r="H122" s="26">
        <v>29029</v>
      </c>
      <c r="I122" s="25">
        <v>36035</v>
      </c>
      <c r="J122" s="46">
        <f t="shared" si="7"/>
        <v>65064</v>
      </c>
      <c r="K122" s="26">
        <v>24334</v>
      </c>
      <c r="L122" s="10">
        <v>3100</v>
      </c>
      <c r="M122" s="25">
        <v>211</v>
      </c>
      <c r="N122" s="46">
        <f t="shared" si="8"/>
        <v>92709</v>
      </c>
      <c r="O122" s="50">
        <f t="shared" si="6"/>
        <v>8.124671363970975</v>
      </c>
      <c r="P122" s="30">
        <f>E122-N122+940</f>
        <v>12866.100000000006</v>
      </c>
    </row>
    <row r="123" spans="1:16" ht="12.75">
      <c r="A123" s="10">
        <v>33</v>
      </c>
      <c r="B123" s="5" t="s">
        <v>205</v>
      </c>
      <c r="C123" s="13">
        <v>3765.82</v>
      </c>
      <c r="D123" s="25">
        <v>11953</v>
      </c>
      <c r="E123" s="38">
        <f t="shared" si="9"/>
        <v>104327.65</v>
      </c>
      <c r="F123" s="13">
        <v>104327.65</v>
      </c>
      <c r="G123" s="37">
        <v>0</v>
      </c>
      <c r="H123" s="26">
        <v>28741</v>
      </c>
      <c r="I123" s="25">
        <v>31500</v>
      </c>
      <c r="J123" s="46">
        <f t="shared" si="7"/>
        <v>60241</v>
      </c>
      <c r="K123" s="26">
        <v>45120</v>
      </c>
      <c r="L123" s="10">
        <v>3069</v>
      </c>
      <c r="M123" s="25">
        <v>209</v>
      </c>
      <c r="N123" s="46">
        <f t="shared" si="8"/>
        <v>108639</v>
      </c>
      <c r="O123" s="50">
        <f t="shared" si="6"/>
        <v>9.61623232124743</v>
      </c>
      <c r="P123" s="30">
        <f>E123-N123+11953</f>
        <v>7641.649999999994</v>
      </c>
    </row>
    <row r="124" spans="1:16" ht="12.75">
      <c r="A124" s="10"/>
      <c r="B124" s="22"/>
      <c r="C124" s="22"/>
      <c r="D124" s="25"/>
      <c r="E124" s="39"/>
      <c r="F124" s="22"/>
      <c r="G124" s="40"/>
      <c r="H124" s="34"/>
      <c r="I124" s="44"/>
      <c r="J124" s="47"/>
      <c r="K124" s="34"/>
      <c r="L124" s="22"/>
      <c r="M124" s="44"/>
      <c r="N124" s="47"/>
      <c r="O124" s="50"/>
      <c r="P124" s="30"/>
    </row>
    <row r="125" spans="1:16" ht="12.75">
      <c r="A125" s="10">
        <v>34</v>
      </c>
      <c r="B125" s="5" t="s">
        <v>206</v>
      </c>
      <c r="C125" s="13">
        <v>3805.6</v>
      </c>
      <c r="D125" s="25">
        <v>-17460</v>
      </c>
      <c r="E125" s="38">
        <f aca="true" t="shared" si="10" ref="E125:E138">F125+G125</f>
        <v>91505.79</v>
      </c>
      <c r="F125" s="13">
        <v>91505.79</v>
      </c>
      <c r="G125" s="37">
        <v>0</v>
      </c>
      <c r="H125" s="26">
        <v>27795</v>
      </c>
      <c r="I125" s="25">
        <v>39513</v>
      </c>
      <c r="J125" s="46">
        <f aca="true" t="shared" si="11" ref="J125:J138">H125+I125</f>
        <v>67308</v>
      </c>
      <c r="K125" s="26">
        <v>78276</v>
      </c>
      <c r="L125" s="10">
        <v>3102</v>
      </c>
      <c r="M125" s="25">
        <v>211</v>
      </c>
      <c r="N125" s="46">
        <f aca="true" t="shared" si="12" ref="N125:N138">J125+K125+L125+M125</f>
        <v>148897</v>
      </c>
      <c r="O125" s="50">
        <f aca="true" t="shared" si="13" ref="O125:O138">N125/C125/3</f>
        <v>13.041920678298647</v>
      </c>
      <c r="P125" s="30">
        <f>E125-N125-17460</f>
        <v>-74851.21</v>
      </c>
    </row>
    <row r="126" spans="1:16" ht="12.75">
      <c r="A126" s="10">
        <v>35</v>
      </c>
      <c r="B126" s="5" t="s">
        <v>207</v>
      </c>
      <c r="C126" s="13">
        <v>3812.15</v>
      </c>
      <c r="D126" s="25">
        <v>-9540</v>
      </c>
      <c r="E126" s="38">
        <f t="shared" si="10"/>
        <v>106942.92</v>
      </c>
      <c r="F126" s="13">
        <v>106942.92</v>
      </c>
      <c r="G126" s="37">
        <v>0</v>
      </c>
      <c r="H126" s="26">
        <v>29094</v>
      </c>
      <c r="I126" s="25">
        <v>39646</v>
      </c>
      <c r="J126" s="46">
        <f t="shared" si="11"/>
        <v>68740</v>
      </c>
      <c r="K126" s="26">
        <v>100912</v>
      </c>
      <c r="L126" s="10">
        <v>3107</v>
      </c>
      <c r="M126" s="25">
        <v>211</v>
      </c>
      <c r="N126" s="46">
        <f t="shared" si="12"/>
        <v>172970</v>
      </c>
      <c r="O126" s="50">
        <f t="shared" si="13"/>
        <v>15.124448583257916</v>
      </c>
      <c r="P126" s="30">
        <f>E126-N126-9540</f>
        <v>-75567.08</v>
      </c>
    </row>
    <row r="127" spans="1:16" ht="12.75">
      <c r="A127" s="10">
        <v>36</v>
      </c>
      <c r="B127" s="5" t="s">
        <v>208</v>
      </c>
      <c r="C127" s="13">
        <v>3801.02</v>
      </c>
      <c r="D127" s="25">
        <v>13925</v>
      </c>
      <c r="E127" s="38">
        <f t="shared" si="10"/>
        <v>102333.95</v>
      </c>
      <c r="F127" s="13">
        <v>102333.95</v>
      </c>
      <c r="G127" s="37">
        <v>0</v>
      </c>
      <c r="H127" s="26">
        <v>29009</v>
      </c>
      <c r="I127" s="25">
        <v>35358</v>
      </c>
      <c r="J127" s="46">
        <f t="shared" si="11"/>
        <v>64367</v>
      </c>
      <c r="K127" s="26">
        <v>40000</v>
      </c>
      <c r="L127" s="10">
        <v>3098</v>
      </c>
      <c r="M127" s="25">
        <v>211</v>
      </c>
      <c r="N127" s="46">
        <f t="shared" si="12"/>
        <v>107676</v>
      </c>
      <c r="O127" s="50">
        <f t="shared" si="13"/>
        <v>9.442728530762794</v>
      </c>
      <c r="P127" s="30">
        <f>E127-N127+13925</f>
        <v>8582.949999999997</v>
      </c>
    </row>
    <row r="128" spans="1:16" ht="12.75">
      <c r="A128" s="10">
        <v>37</v>
      </c>
      <c r="B128" s="5" t="s">
        <v>209</v>
      </c>
      <c r="C128" s="13">
        <v>3786.32</v>
      </c>
      <c r="D128" s="25">
        <v>-10074</v>
      </c>
      <c r="E128" s="38">
        <f t="shared" si="10"/>
        <v>78057.67</v>
      </c>
      <c r="F128" s="13">
        <v>78057.67</v>
      </c>
      <c r="G128" s="37">
        <v>0</v>
      </c>
      <c r="H128" s="26">
        <v>28897</v>
      </c>
      <c r="I128" s="25">
        <v>38812</v>
      </c>
      <c r="J128" s="46">
        <f t="shared" si="11"/>
        <v>67709</v>
      </c>
      <c r="K128" s="26">
        <v>193666</v>
      </c>
      <c r="L128" s="10">
        <v>3100</v>
      </c>
      <c r="M128" s="25">
        <v>210</v>
      </c>
      <c r="N128" s="46">
        <f t="shared" si="12"/>
        <v>264685</v>
      </c>
      <c r="O128" s="50">
        <f t="shared" si="13"/>
        <v>23.301869185207096</v>
      </c>
      <c r="P128" s="30">
        <f>E128-N128-10074</f>
        <v>-196701.33000000002</v>
      </c>
    </row>
    <row r="129" spans="1:16" ht="12.75">
      <c r="A129" s="10">
        <v>38</v>
      </c>
      <c r="B129" s="5" t="s">
        <v>210</v>
      </c>
      <c r="C129" s="13">
        <v>3739.54</v>
      </c>
      <c r="D129" s="25">
        <v>5282</v>
      </c>
      <c r="E129" s="38">
        <f t="shared" si="10"/>
        <v>119833.97</v>
      </c>
      <c r="F129" s="13">
        <v>119833.97</v>
      </c>
      <c r="G129" s="37">
        <v>0</v>
      </c>
      <c r="H129" s="26">
        <v>28540</v>
      </c>
      <c r="I129" s="25">
        <v>39016</v>
      </c>
      <c r="J129" s="46">
        <f t="shared" si="11"/>
        <v>67556</v>
      </c>
      <c r="K129" s="26">
        <v>40507</v>
      </c>
      <c r="L129" s="10">
        <v>3048</v>
      </c>
      <c r="M129" s="25">
        <v>207</v>
      </c>
      <c r="N129" s="46">
        <f t="shared" si="12"/>
        <v>111318</v>
      </c>
      <c r="O129" s="50">
        <f t="shared" si="13"/>
        <v>9.922610802398156</v>
      </c>
      <c r="P129" s="30">
        <f>E129-N129+5282</f>
        <v>13797.970000000001</v>
      </c>
    </row>
    <row r="130" spans="1:16" ht="12.75">
      <c r="A130" s="10">
        <v>39</v>
      </c>
      <c r="B130" s="5" t="s">
        <v>211</v>
      </c>
      <c r="C130" s="13">
        <v>3624.69</v>
      </c>
      <c r="D130" s="25">
        <v>-27097</v>
      </c>
      <c r="E130" s="38">
        <f t="shared" si="10"/>
        <v>95740.04</v>
      </c>
      <c r="F130" s="13">
        <v>95740.04</v>
      </c>
      <c r="G130" s="37">
        <v>0</v>
      </c>
      <c r="H130" s="26">
        <v>27664</v>
      </c>
      <c r="I130" s="25">
        <v>29765</v>
      </c>
      <c r="J130" s="46">
        <f t="shared" si="11"/>
        <v>57429</v>
      </c>
      <c r="K130" s="26">
        <v>140839</v>
      </c>
      <c r="L130" s="10">
        <v>2954</v>
      </c>
      <c r="M130" s="25">
        <v>201</v>
      </c>
      <c r="N130" s="46">
        <f t="shared" si="12"/>
        <v>201423</v>
      </c>
      <c r="O130" s="50">
        <f t="shared" si="13"/>
        <v>18.523239228734045</v>
      </c>
      <c r="P130" s="30">
        <f>E130-N130-27097</f>
        <v>-132779.96000000002</v>
      </c>
    </row>
    <row r="131" spans="1:16" ht="12.75">
      <c r="A131" s="10">
        <v>40</v>
      </c>
      <c r="B131" s="5" t="s">
        <v>212</v>
      </c>
      <c r="C131" s="13">
        <v>2517.57</v>
      </c>
      <c r="D131" s="25">
        <v>-23763</v>
      </c>
      <c r="E131" s="38">
        <f t="shared" si="10"/>
        <v>73008.43</v>
      </c>
      <c r="F131" s="13">
        <v>73008.43</v>
      </c>
      <c r="G131" s="37">
        <v>0</v>
      </c>
      <c r="H131" s="26">
        <v>19214</v>
      </c>
      <c r="I131" s="25">
        <v>22719</v>
      </c>
      <c r="J131" s="46">
        <f t="shared" si="11"/>
        <v>41933</v>
      </c>
      <c r="K131" s="26">
        <v>178234</v>
      </c>
      <c r="L131" s="10">
        <v>2052</v>
      </c>
      <c r="M131" s="25">
        <v>139</v>
      </c>
      <c r="N131" s="46">
        <f t="shared" si="12"/>
        <v>222358</v>
      </c>
      <c r="O131" s="50">
        <f t="shared" si="13"/>
        <v>29.440823227689133</v>
      </c>
      <c r="P131" s="30">
        <f>E131-N131-23763</f>
        <v>-173112.57</v>
      </c>
    </row>
    <row r="132" spans="1:16" ht="12.75">
      <c r="A132" s="10">
        <v>41</v>
      </c>
      <c r="B132" s="5" t="s">
        <v>213</v>
      </c>
      <c r="C132" s="13">
        <v>3604.55</v>
      </c>
      <c r="D132" s="25">
        <v>0</v>
      </c>
      <c r="E132" s="38">
        <f t="shared" si="10"/>
        <v>0</v>
      </c>
      <c r="F132" s="13"/>
      <c r="G132" s="37"/>
      <c r="H132" s="26"/>
      <c r="I132" s="25"/>
      <c r="J132" s="46">
        <f t="shared" si="11"/>
        <v>0</v>
      </c>
      <c r="K132" s="26"/>
      <c r="L132" s="10"/>
      <c r="M132" s="25"/>
      <c r="N132" s="46">
        <f t="shared" si="12"/>
        <v>0</v>
      </c>
      <c r="O132" s="50">
        <f t="shared" si="13"/>
        <v>0</v>
      </c>
      <c r="P132" s="30">
        <f>E132-N132</f>
        <v>0</v>
      </c>
    </row>
    <row r="133" spans="1:16" ht="12.75">
      <c r="A133" s="10">
        <v>42</v>
      </c>
      <c r="B133" s="5" t="s">
        <v>214</v>
      </c>
      <c r="C133" s="13">
        <v>690.44</v>
      </c>
      <c r="D133" s="25">
        <v>-1669</v>
      </c>
      <c r="E133" s="38">
        <f t="shared" si="10"/>
        <v>4004.56</v>
      </c>
      <c r="F133" s="13">
        <v>4004.56</v>
      </c>
      <c r="G133" s="37"/>
      <c r="H133" s="26"/>
      <c r="I133" s="25"/>
      <c r="J133" s="46">
        <f t="shared" si="11"/>
        <v>0</v>
      </c>
      <c r="K133" s="26"/>
      <c r="L133" s="10"/>
      <c r="M133" s="25"/>
      <c r="N133" s="46">
        <f t="shared" si="12"/>
        <v>0</v>
      </c>
      <c r="O133" s="50">
        <f t="shared" si="13"/>
        <v>0</v>
      </c>
      <c r="P133" s="30">
        <f>E133-N133-1669</f>
        <v>2335.56</v>
      </c>
    </row>
    <row r="134" spans="1:16" ht="12.75">
      <c r="A134" s="10">
        <v>43</v>
      </c>
      <c r="B134" s="5" t="s">
        <v>215</v>
      </c>
      <c r="C134" s="13">
        <v>654.84</v>
      </c>
      <c r="D134" s="25">
        <v>7845</v>
      </c>
      <c r="E134" s="38">
        <f t="shared" si="10"/>
        <v>30828.53</v>
      </c>
      <c r="F134" s="13">
        <v>30828.53</v>
      </c>
      <c r="G134" s="37">
        <v>0</v>
      </c>
      <c r="H134" s="26">
        <v>4998</v>
      </c>
      <c r="I134" s="25">
        <v>7141</v>
      </c>
      <c r="J134" s="46">
        <f t="shared" si="11"/>
        <v>12139</v>
      </c>
      <c r="K134" s="26">
        <v>4043</v>
      </c>
      <c r="L134" s="10">
        <v>534</v>
      </c>
      <c r="M134" s="25">
        <v>36</v>
      </c>
      <c r="N134" s="46">
        <f t="shared" si="12"/>
        <v>16752</v>
      </c>
      <c r="O134" s="50">
        <f t="shared" si="13"/>
        <v>8.527273837884062</v>
      </c>
      <c r="P134" s="30">
        <f>E134-N134+7845</f>
        <v>21921.53</v>
      </c>
    </row>
    <row r="135" spans="1:16" ht="12.75">
      <c r="A135" s="10">
        <v>44</v>
      </c>
      <c r="B135" s="5" t="s">
        <v>216</v>
      </c>
      <c r="C135" s="13">
        <v>1806.12</v>
      </c>
      <c r="D135" s="25">
        <v>-26458</v>
      </c>
      <c r="E135" s="38">
        <f t="shared" si="10"/>
        <v>56750.86</v>
      </c>
      <c r="F135" s="13">
        <v>56750.86</v>
      </c>
      <c r="G135" s="37">
        <v>0</v>
      </c>
      <c r="H135" s="26">
        <v>13784</v>
      </c>
      <c r="I135" s="25">
        <v>16453</v>
      </c>
      <c r="J135" s="46">
        <f t="shared" si="11"/>
        <v>30237</v>
      </c>
      <c r="K135" s="26">
        <v>20318</v>
      </c>
      <c r="L135" s="10">
        <v>1472</v>
      </c>
      <c r="M135" s="25">
        <v>100</v>
      </c>
      <c r="N135" s="46">
        <f t="shared" si="12"/>
        <v>52127</v>
      </c>
      <c r="O135" s="50">
        <f t="shared" si="13"/>
        <v>9.620438656715317</v>
      </c>
      <c r="P135" s="30">
        <f>E135-N135-26458</f>
        <v>-21834.14</v>
      </c>
    </row>
    <row r="136" spans="1:16" ht="12.75">
      <c r="A136" s="10">
        <v>45</v>
      </c>
      <c r="B136" s="5" t="s">
        <v>217</v>
      </c>
      <c r="C136" s="13">
        <v>1493.57</v>
      </c>
      <c r="D136" s="25">
        <v>-8432</v>
      </c>
      <c r="E136" s="38">
        <f t="shared" si="10"/>
        <v>6295.14</v>
      </c>
      <c r="F136" s="13">
        <v>6295.14</v>
      </c>
      <c r="G136" s="37"/>
      <c r="H136" s="26"/>
      <c r="I136" s="25"/>
      <c r="J136" s="46">
        <f t="shared" si="11"/>
        <v>0</v>
      </c>
      <c r="K136" s="26"/>
      <c r="L136" s="10"/>
      <c r="M136" s="25"/>
      <c r="N136" s="46">
        <f t="shared" si="12"/>
        <v>0</v>
      </c>
      <c r="O136" s="50">
        <f t="shared" si="13"/>
        <v>0</v>
      </c>
      <c r="P136" s="30">
        <f>D136</f>
        <v>-8432</v>
      </c>
    </row>
    <row r="137" spans="1:16" ht="12.75">
      <c r="A137" s="10">
        <v>46</v>
      </c>
      <c r="B137" s="5" t="s">
        <v>218</v>
      </c>
      <c r="C137" s="10">
        <v>1999.99</v>
      </c>
      <c r="D137" s="25">
        <v>-56365</v>
      </c>
      <c r="E137" s="38">
        <f t="shared" si="10"/>
        <v>55217.34</v>
      </c>
      <c r="F137" s="13">
        <v>55217.34</v>
      </c>
      <c r="G137" s="37">
        <v>0</v>
      </c>
      <c r="H137" s="26">
        <v>15264</v>
      </c>
      <c r="I137" s="25">
        <v>68169</v>
      </c>
      <c r="J137" s="46">
        <f t="shared" si="11"/>
        <v>83433</v>
      </c>
      <c r="K137" s="26">
        <v>18126</v>
      </c>
      <c r="L137" s="10">
        <v>2951</v>
      </c>
      <c r="M137" s="25">
        <v>111</v>
      </c>
      <c r="N137" s="46">
        <f t="shared" si="12"/>
        <v>104621</v>
      </c>
      <c r="O137" s="50">
        <f t="shared" si="13"/>
        <v>17.43692051793592</v>
      </c>
      <c r="P137" s="30">
        <f>E137-N137-56365</f>
        <v>-105768.66</v>
      </c>
    </row>
    <row r="138" spans="1:16" ht="12.75">
      <c r="A138" s="10">
        <v>47</v>
      </c>
      <c r="B138" s="5" t="s">
        <v>314</v>
      </c>
      <c r="C138" s="10">
        <v>1443.12</v>
      </c>
      <c r="D138" s="25">
        <v>-13918</v>
      </c>
      <c r="E138" s="38">
        <f t="shared" si="10"/>
        <v>36879.62</v>
      </c>
      <c r="F138" s="13">
        <v>36879.62</v>
      </c>
      <c r="G138" s="37">
        <v>0</v>
      </c>
      <c r="H138" s="26">
        <v>11014</v>
      </c>
      <c r="I138" s="25">
        <v>23501</v>
      </c>
      <c r="J138" s="46">
        <f t="shared" si="11"/>
        <v>34515</v>
      </c>
      <c r="K138" s="26">
        <v>14209</v>
      </c>
      <c r="L138" s="10">
        <v>1176</v>
      </c>
      <c r="M138" s="25">
        <v>80</v>
      </c>
      <c r="N138" s="46">
        <f t="shared" si="12"/>
        <v>49980</v>
      </c>
      <c r="O138" s="50">
        <f t="shared" si="13"/>
        <v>11.544431509507179</v>
      </c>
      <c r="P138" s="30">
        <f>E138-N138-13918</f>
        <v>-27018.379999999997</v>
      </c>
    </row>
    <row r="139" spans="1:16" ht="13.5" thickBot="1">
      <c r="A139" s="5"/>
      <c r="B139" s="5" t="s">
        <v>243</v>
      </c>
      <c r="C139" s="7">
        <f aca="true" t="shared" si="14" ref="C139:N139">SUM(C91:C138)</f>
        <v>158839.53000000003</v>
      </c>
      <c r="D139" s="33">
        <f t="shared" si="14"/>
        <v>-395780</v>
      </c>
      <c r="E139" s="41">
        <f t="shared" si="14"/>
        <v>4423848.28</v>
      </c>
      <c r="F139" s="42">
        <f t="shared" si="14"/>
        <v>4404865.069999999</v>
      </c>
      <c r="G139" s="43">
        <f t="shared" si="14"/>
        <v>18983.21</v>
      </c>
      <c r="H139" s="26">
        <f t="shared" si="14"/>
        <v>1131741</v>
      </c>
      <c r="I139" s="25">
        <f t="shared" si="14"/>
        <v>1453191</v>
      </c>
      <c r="J139" s="48">
        <f t="shared" si="14"/>
        <v>2584932</v>
      </c>
      <c r="K139" s="26">
        <f t="shared" si="14"/>
        <v>3232012</v>
      </c>
      <c r="L139" s="10">
        <f t="shared" si="14"/>
        <v>121389</v>
      </c>
      <c r="M139" s="25">
        <f t="shared" si="14"/>
        <v>8224</v>
      </c>
      <c r="N139" s="48">
        <f t="shared" si="14"/>
        <v>5946557</v>
      </c>
      <c r="O139" s="51">
        <f>N139/3/C139</f>
        <v>12.479171064448922</v>
      </c>
      <c r="P139" s="12">
        <f>SUM(P91:P138)</f>
        <v>-1924783.8599999996</v>
      </c>
    </row>
    <row r="140" spans="1:16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2.75">
      <c r="A142" s="29"/>
      <c r="B142" s="29" t="s">
        <v>244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 t="s">
        <v>245</v>
      </c>
      <c r="M142" s="29"/>
      <c r="N142" s="29"/>
      <c r="O142" s="29"/>
      <c r="P142" s="29"/>
    </row>
    <row r="143" spans="1:16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12.75">
      <c r="A144" s="29"/>
      <c r="B144" s="29" t="s">
        <v>246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 t="s">
        <v>247</v>
      </c>
      <c r="M144" s="29"/>
      <c r="N144" s="29"/>
      <c r="O144" s="29"/>
      <c r="P144" s="29"/>
    </row>
    <row r="145" spans="1:16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2:6" ht="12.75">
      <c r="B146" t="s">
        <v>563</v>
      </c>
      <c r="F146">
        <v>4405131.41</v>
      </c>
    </row>
    <row r="148" ht="12.75">
      <c r="F148" s="116">
        <f>F139-F146</f>
        <v>-266.3400000007823</v>
      </c>
    </row>
    <row r="169" spans="1:16" ht="12.75">
      <c r="A169" s="29"/>
      <c r="B169" s="29"/>
      <c r="C169" s="29"/>
      <c r="D169" s="62" t="s">
        <v>222</v>
      </c>
      <c r="E169" s="62"/>
      <c r="F169" s="62"/>
      <c r="G169" s="62"/>
      <c r="H169" s="62"/>
      <c r="I169" s="62"/>
      <c r="J169" s="62"/>
      <c r="K169" s="62"/>
      <c r="L169" s="29"/>
      <c r="M169" s="29"/>
      <c r="N169" s="29"/>
      <c r="O169" s="29"/>
      <c r="P169" s="29"/>
    </row>
    <row r="170" spans="1:16" ht="13.5" thickBot="1">
      <c r="A170" s="29"/>
      <c r="B170" s="29"/>
      <c r="C170" s="29"/>
      <c r="D170" s="62"/>
      <c r="E170" s="62"/>
      <c r="F170" s="62"/>
      <c r="G170" s="62"/>
      <c r="H170" s="62"/>
      <c r="I170" s="62"/>
      <c r="J170" s="62" t="s">
        <v>448</v>
      </c>
      <c r="K170" s="62"/>
      <c r="L170" s="29"/>
      <c r="M170" s="29"/>
      <c r="N170" s="29"/>
      <c r="O170" s="29"/>
      <c r="P170" s="29"/>
    </row>
    <row r="171" spans="1:16" ht="21" customHeight="1">
      <c r="A171" s="198" t="s">
        <v>0</v>
      </c>
      <c r="B171" s="201" t="s">
        <v>167</v>
      </c>
      <c r="C171" s="188" t="s">
        <v>165</v>
      </c>
      <c r="D171" s="145" t="s">
        <v>313</v>
      </c>
      <c r="E171" s="183" t="s">
        <v>446</v>
      </c>
      <c r="F171" s="184"/>
      <c r="G171" s="185"/>
      <c r="H171" s="186" t="s">
        <v>221</v>
      </c>
      <c r="I171" s="186"/>
      <c r="J171" s="186"/>
      <c r="K171" s="186"/>
      <c r="L171" s="186"/>
      <c r="M171" s="186"/>
      <c r="N171" s="186"/>
      <c r="O171" s="187"/>
      <c r="P171" s="188" t="s">
        <v>172</v>
      </c>
    </row>
    <row r="172" spans="1:16" ht="13.5" thickBot="1">
      <c r="A172" s="199"/>
      <c r="B172" s="202"/>
      <c r="C172" s="189"/>
      <c r="D172" s="146"/>
      <c r="E172" s="191" t="s">
        <v>169</v>
      </c>
      <c r="F172" s="193" t="s">
        <v>163</v>
      </c>
      <c r="G172" s="194"/>
      <c r="H172" s="195" t="s">
        <v>166</v>
      </c>
      <c r="I172" s="195"/>
      <c r="J172" s="196"/>
      <c r="K172" s="195"/>
      <c r="L172" s="195"/>
      <c r="M172" s="195"/>
      <c r="N172" s="196"/>
      <c r="O172" s="197"/>
      <c r="P172" s="189"/>
    </row>
    <row r="173" spans="1:16" ht="78.75">
      <c r="A173" s="200"/>
      <c r="B173" s="170"/>
      <c r="C173" s="190"/>
      <c r="D173" s="147"/>
      <c r="E173" s="192"/>
      <c r="F173" s="6" t="s">
        <v>164</v>
      </c>
      <c r="G173" s="35" t="s">
        <v>220</v>
      </c>
      <c r="H173" s="28" t="s">
        <v>158</v>
      </c>
      <c r="I173" s="27" t="s">
        <v>159</v>
      </c>
      <c r="J173" s="45" t="s">
        <v>168</v>
      </c>
      <c r="K173" s="28" t="s">
        <v>160</v>
      </c>
      <c r="L173" s="6" t="s">
        <v>161</v>
      </c>
      <c r="M173" s="25" t="s">
        <v>162</v>
      </c>
      <c r="N173" s="52" t="s">
        <v>170</v>
      </c>
      <c r="O173" s="28" t="s">
        <v>171</v>
      </c>
      <c r="P173" s="190"/>
    </row>
    <row r="174" spans="1:16" ht="12.75">
      <c r="A174" s="10">
        <v>1</v>
      </c>
      <c r="B174" s="10">
        <v>2</v>
      </c>
      <c r="C174" s="10">
        <v>3</v>
      </c>
      <c r="D174" s="31"/>
      <c r="E174" s="36">
        <v>4</v>
      </c>
      <c r="F174" s="10">
        <v>5</v>
      </c>
      <c r="G174" s="37">
        <v>6</v>
      </c>
      <c r="H174" s="26">
        <v>7</v>
      </c>
      <c r="I174" s="25">
        <v>8</v>
      </c>
      <c r="J174" s="46">
        <v>9</v>
      </c>
      <c r="K174" s="26">
        <v>10</v>
      </c>
      <c r="L174" s="10">
        <v>11</v>
      </c>
      <c r="M174" s="25">
        <v>12</v>
      </c>
      <c r="N174" s="46">
        <v>13</v>
      </c>
      <c r="O174" s="26">
        <v>14</v>
      </c>
      <c r="P174" s="10">
        <v>15</v>
      </c>
    </row>
    <row r="175" spans="1:16" ht="12.75">
      <c r="A175" s="10">
        <v>1</v>
      </c>
      <c r="B175" s="5" t="s">
        <v>173</v>
      </c>
      <c r="C175" s="13">
        <v>4595.66</v>
      </c>
      <c r="D175" s="25">
        <v>-12656</v>
      </c>
      <c r="E175" s="38"/>
      <c r="G175" s="37"/>
      <c r="H175" s="26"/>
      <c r="I175" s="25"/>
      <c r="J175" s="46">
        <f>H175+I175</f>
        <v>0</v>
      </c>
      <c r="K175" s="26"/>
      <c r="L175" s="10"/>
      <c r="M175" s="25"/>
      <c r="N175" s="46">
        <f>J175+K175+L175+M175</f>
        <v>0</v>
      </c>
      <c r="O175" s="50">
        <f>N175/C175/3</f>
        <v>0</v>
      </c>
      <c r="P175" s="30">
        <f>D175</f>
        <v>-12656</v>
      </c>
    </row>
    <row r="176" spans="1:16" ht="12.75">
      <c r="A176" s="10">
        <v>2</v>
      </c>
      <c r="B176" s="5" t="s">
        <v>174</v>
      </c>
      <c r="C176" s="13">
        <v>2974.92</v>
      </c>
      <c r="D176" s="25">
        <v>-16029</v>
      </c>
      <c r="E176" s="38">
        <f>F176+G176</f>
        <v>93273.11</v>
      </c>
      <c r="F176" s="13">
        <v>93273.11</v>
      </c>
      <c r="G176" s="37"/>
      <c r="H176" s="26">
        <v>25443</v>
      </c>
      <c r="I176" s="25">
        <v>34102</v>
      </c>
      <c r="J176" s="46">
        <f aca="true" t="shared" si="15" ref="J176:J190">H176+I176</f>
        <v>59545</v>
      </c>
      <c r="K176" s="26">
        <v>67488</v>
      </c>
      <c r="L176" s="10">
        <v>5537</v>
      </c>
      <c r="M176" s="33">
        <f>0.1026473669*C176</f>
        <v>305.367704738148</v>
      </c>
      <c r="N176" s="46">
        <f>J176+K176+L176+M176</f>
        <v>132875.36770473814</v>
      </c>
      <c r="O176" s="50">
        <f>N176/C176/3</f>
        <v>14.888396741731782</v>
      </c>
      <c r="P176" s="30">
        <f>D176+E176-N176</f>
        <v>-55631.257704738135</v>
      </c>
    </row>
    <row r="177" spans="1:16" ht="12.75">
      <c r="A177" s="10">
        <v>3</v>
      </c>
      <c r="B177" s="5" t="s">
        <v>175</v>
      </c>
      <c r="C177" s="13">
        <v>7057.96</v>
      </c>
      <c r="D177" s="25">
        <v>14394</v>
      </c>
      <c r="E177" s="38">
        <f aca="true" t="shared" si="16" ref="E177:E223">F177+G177</f>
        <v>255636.81</v>
      </c>
      <c r="F177" s="13">
        <v>255636.81</v>
      </c>
      <c r="G177" s="37"/>
      <c r="H177" s="26">
        <v>60364</v>
      </c>
      <c r="I177" s="25">
        <v>64731</v>
      </c>
      <c r="J177" s="46">
        <f t="shared" si="15"/>
        <v>125095</v>
      </c>
      <c r="K177" s="26">
        <v>98469</v>
      </c>
      <c r="L177" s="10">
        <v>4269</v>
      </c>
      <c r="M177" s="33">
        <f aca="true" t="shared" si="17" ref="M177:M222">0.1026473669*C177</f>
        <v>724.481009685524</v>
      </c>
      <c r="N177" s="46">
        <f aca="true" t="shared" si="18" ref="N177:N223">J177+K177+L177+M177</f>
        <v>228557.48100968552</v>
      </c>
      <c r="O177" s="50">
        <f aca="true" t="shared" si="19" ref="O177:O222">N177/C177/3</f>
        <v>10.794312663039817</v>
      </c>
      <c r="P177" s="30">
        <f aca="true" t="shared" si="20" ref="P177:P222">D177+E177-N177</f>
        <v>41473.328990314476</v>
      </c>
    </row>
    <row r="178" spans="1:16" ht="12.75">
      <c r="A178" s="10">
        <v>4</v>
      </c>
      <c r="B178" s="5" t="s">
        <v>176</v>
      </c>
      <c r="C178" s="13">
        <v>1879.75</v>
      </c>
      <c r="D178" s="25">
        <v>11988</v>
      </c>
      <c r="E178" s="38">
        <f t="shared" si="16"/>
        <v>69466.3</v>
      </c>
      <c r="F178" s="13">
        <v>69466.3</v>
      </c>
      <c r="G178" s="37"/>
      <c r="H178" s="26">
        <v>16077</v>
      </c>
      <c r="I178" s="25">
        <v>22651</v>
      </c>
      <c r="J178" s="46">
        <f t="shared" si="15"/>
        <v>38728</v>
      </c>
      <c r="K178" s="26">
        <v>15948</v>
      </c>
      <c r="L178" s="10">
        <v>1137</v>
      </c>
      <c r="M178" s="33">
        <f t="shared" si="17"/>
        <v>192.951387930275</v>
      </c>
      <c r="N178" s="46">
        <f t="shared" si="18"/>
        <v>56005.951387930276</v>
      </c>
      <c r="O178" s="50">
        <f t="shared" si="19"/>
        <v>9.931453896871087</v>
      </c>
      <c r="P178" s="30">
        <f t="shared" si="20"/>
        <v>25448.348612069727</v>
      </c>
    </row>
    <row r="179" spans="1:16" ht="12.75">
      <c r="A179" s="10">
        <v>5</v>
      </c>
      <c r="B179" s="5" t="s">
        <v>177</v>
      </c>
      <c r="C179" s="13">
        <v>4438.99</v>
      </c>
      <c r="D179" s="25">
        <v>51751</v>
      </c>
      <c r="E179" s="38">
        <f t="shared" si="16"/>
        <v>185050.17</v>
      </c>
      <c r="F179" s="13">
        <v>185050.17</v>
      </c>
      <c r="G179" s="37"/>
      <c r="H179" s="26">
        <v>37965</v>
      </c>
      <c r="I179" s="25">
        <v>45784</v>
      </c>
      <c r="J179" s="46">
        <f t="shared" si="15"/>
        <v>83749</v>
      </c>
      <c r="K179" s="26">
        <v>110538</v>
      </c>
      <c r="L179" s="10">
        <v>2685</v>
      </c>
      <c r="M179" s="33">
        <f t="shared" si="17"/>
        <v>455.65063519543094</v>
      </c>
      <c r="N179" s="46">
        <f t="shared" si="18"/>
        <v>197427.65063519543</v>
      </c>
      <c r="O179" s="50">
        <f t="shared" si="19"/>
        <v>14.82526810792511</v>
      </c>
      <c r="P179" s="30">
        <f t="shared" si="20"/>
        <v>39373.51936480458</v>
      </c>
    </row>
    <row r="180" spans="1:16" ht="12.75">
      <c r="A180" s="10">
        <v>6</v>
      </c>
      <c r="B180" s="5" t="s">
        <v>178</v>
      </c>
      <c r="C180" s="13">
        <v>7001.3</v>
      </c>
      <c r="D180" s="25">
        <v>33743</v>
      </c>
      <c r="E180" s="38">
        <f t="shared" si="16"/>
        <v>235067.11</v>
      </c>
      <c r="F180" s="13">
        <v>235067.11</v>
      </c>
      <c r="G180" s="37"/>
      <c r="H180" s="26">
        <v>59879</v>
      </c>
      <c r="I180" s="25">
        <v>67771</v>
      </c>
      <c r="J180" s="46">
        <f t="shared" si="15"/>
        <v>127650</v>
      </c>
      <c r="K180" s="26">
        <v>128384</v>
      </c>
      <c r="L180" s="10">
        <v>4235</v>
      </c>
      <c r="M180" s="33">
        <f t="shared" si="17"/>
        <v>718.66500987697</v>
      </c>
      <c r="N180" s="46">
        <f t="shared" si="18"/>
        <v>260987.66500987698</v>
      </c>
      <c r="O180" s="50">
        <f t="shared" si="19"/>
        <v>12.425676422468063</v>
      </c>
      <c r="P180" s="30">
        <f t="shared" si="20"/>
        <v>7822.444990123011</v>
      </c>
    </row>
    <row r="181" spans="1:16" ht="12.75">
      <c r="A181" s="10">
        <v>7</v>
      </c>
      <c r="B181" s="5" t="s">
        <v>179</v>
      </c>
      <c r="C181" s="13">
        <v>3606.62</v>
      </c>
      <c r="D181" s="25">
        <v>-111191</v>
      </c>
      <c r="E181" s="38">
        <f t="shared" si="16"/>
        <v>100148.74</v>
      </c>
      <c r="F181" s="13">
        <v>100148.74</v>
      </c>
      <c r="G181" s="37"/>
      <c r="H181" s="26">
        <v>30846</v>
      </c>
      <c r="I181" s="25">
        <v>41123</v>
      </c>
      <c r="J181" s="46">
        <f t="shared" si="15"/>
        <v>71969</v>
      </c>
      <c r="K181" s="26">
        <v>353591</v>
      </c>
      <c r="L181" s="10">
        <v>6713</v>
      </c>
      <c r="M181" s="33">
        <f t="shared" si="17"/>
        <v>370.210046408878</v>
      </c>
      <c r="N181" s="46">
        <f t="shared" si="18"/>
        <v>432643.2100464089</v>
      </c>
      <c r="O181" s="50">
        <f t="shared" si="19"/>
        <v>39.986026625705776</v>
      </c>
      <c r="P181" s="30">
        <f t="shared" si="20"/>
        <v>-443685.4700464089</v>
      </c>
    </row>
    <row r="182" spans="1:16" ht="12.75">
      <c r="A182" s="10">
        <v>8</v>
      </c>
      <c r="B182" s="5" t="s">
        <v>180</v>
      </c>
      <c r="C182" s="13">
        <v>3594.55</v>
      </c>
      <c r="D182" s="25">
        <v>-10487</v>
      </c>
      <c r="E182" s="38">
        <f t="shared" si="16"/>
        <v>104508.73</v>
      </c>
      <c r="F182" s="13">
        <v>104508.73</v>
      </c>
      <c r="G182" s="37"/>
      <c r="H182" s="26">
        <v>30743</v>
      </c>
      <c r="I182" s="25">
        <v>40511</v>
      </c>
      <c r="J182" s="46">
        <f t="shared" si="15"/>
        <v>71254</v>
      </c>
      <c r="K182" s="26">
        <v>60849</v>
      </c>
      <c r="L182" s="10">
        <v>6691</v>
      </c>
      <c r="M182" s="33">
        <f t="shared" si="17"/>
        <v>368.971092690395</v>
      </c>
      <c r="N182" s="46">
        <f t="shared" si="18"/>
        <v>139162.9710926904</v>
      </c>
      <c r="O182" s="50">
        <f t="shared" si="19"/>
        <v>12.90499701795685</v>
      </c>
      <c r="P182" s="30">
        <f t="shared" si="20"/>
        <v>-45141.2410926904</v>
      </c>
    </row>
    <row r="183" spans="1:16" ht="12.75">
      <c r="A183" s="10">
        <v>9</v>
      </c>
      <c r="B183" s="5" t="s">
        <v>181</v>
      </c>
      <c r="C183" s="13">
        <v>3239.7</v>
      </c>
      <c r="D183" s="25">
        <v>-5090</v>
      </c>
      <c r="E183" s="38">
        <f t="shared" si="16"/>
        <v>31779.14</v>
      </c>
      <c r="F183" s="13">
        <v>31779.14</v>
      </c>
      <c r="G183" s="37"/>
      <c r="H183" s="26"/>
      <c r="I183" s="25"/>
      <c r="J183" s="46">
        <f t="shared" si="15"/>
        <v>0</v>
      </c>
      <c r="K183" s="26">
        <v>26995</v>
      </c>
      <c r="L183" s="61">
        <v>1960</v>
      </c>
      <c r="M183" s="33"/>
      <c r="N183" s="46">
        <f t="shared" si="18"/>
        <v>28955</v>
      </c>
      <c r="O183" s="50">
        <f t="shared" si="19"/>
        <v>2.9791853155127535</v>
      </c>
      <c r="P183" s="30">
        <f t="shared" si="20"/>
        <v>-2265.8600000000006</v>
      </c>
    </row>
    <row r="184" spans="1:16" ht="12.75">
      <c r="A184" s="10">
        <v>10</v>
      </c>
      <c r="B184" s="5" t="s">
        <v>182</v>
      </c>
      <c r="C184" s="13">
        <v>3613.83</v>
      </c>
      <c r="D184" s="25">
        <v>-67561</v>
      </c>
      <c r="E184" s="38">
        <f t="shared" si="16"/>
        <v>133096.81</v>
      </c>
      <c r="F184" s="13">
        <v>133096.81</v>
      </c>
      <c r="G184" s="37"/>
      <c r="H184" s="26">
        <v>30908</v>
      </c>
      <c r="I184" s="25">
        <v>49678</v>
      </c>
      <c r="J184" s="46">
        <f t="shared" si="15"/>
        <v>80586</v>
      </c>
      <c r="K184" s="26">
        <v>20407</v>
      </c>
      <c r="L184" s="10">
        <v>6727</v>
      </c>
      <c r="M184" s="33">
        <f t="shared" si="17"/>
        <v>370.950133924227</v>
      </c>
      <c r="N184" s="46">
        <f t="shared" si="18"/>
        <v>108090.95013392423</v>
      </c>
      <c r="O184" s="50">
        <f t="shared" si="19"/>
        <v>9.970119433207449</v>
      </c>
      <c r="P184" s="30">
        <f t="shared" si="20"/>
        <v>-42555.14013392423</v>
      </c>
    </row>
    <row r="185" spans="1:16" ht="12.75">
      <c r="A185" s="10">
        <v>11</v>
      </c>
      <c r="B185" s="5" t="s">
        <v>183</v>
      </c>
      <c r="C185" s="13">
        <v>3614.21</v>
      </c>
      <c r="D185" s="25">
        <v>-54416</v>
      </c>
      <c r="E185" s="38">
        <f t="shared" si="16"/>
        <v>111533.8</v>
      </c>
      <c r="F185" s="13">
        <v>111533.8</v>
      </c>
      <c r="G185" s="37"/>
      <c r="H185" s="26">
        <v>30911</v>
      </c>
      <c r="I185" s="25">
        <v>36864</v>
      </c>
      <c r="J185" s="46">
        <f t="shared" si="15"/>
        <v>67775</v>
      </c>
      <c r="K185" s="26">
        <v>33407</v>
      </c>
      <c r="L185" s="10">
        <v>6727</v>
      </c>
      <c r="M185" s="33">
        <f t="shared" si="17"/>
        <v>370.98913992364896</v>
      </c>
      <c r="N185" s="46">
        <f t="shared" si="18"/>
        <v>108279.98913992365</v>
      </c>
      <c r="O185" s="50">
        <f t="shared" si="19"/>
        <v>9.986505962107316</v>
      </c>
      <c r="P185" s="30">
        <f t="shared" si="20"/>
        <v>-51162.18913992365</v>
      </c>
    </row>
    <row r="186" spans="1:16" ht="12.75">
      <c r="A186" s="10">
        <v>12</v>
      </c>
      <c r="B186" s="5" t="s">
        <v>184</v>
      </c>
      <c r="C186" s="13">
        <v>3644.1</v>
      </c>
      <c r="D186" s="25">
        <v>-8578</v>
      </c>
      <c r="E186" s="38">
        <f t="shared" si="16"/>
        <v>138628.81</v>
      </c>
      <c r="F186" s="13">
        <v>138628.81</v>
      </c>
      <c r="G186" s="37"/>
      <c r="H186" s="26">
        <v>31167</v>
      </c>
      <c r="I186" s="25">
        <v>39767</v>
      </c>
      <c r="J186" s="46">
        <f t="shared" si="15"/>
        <v>70934</v>
      </c>
      <c r="K186" s="26">
        <v>102104</v>
      </c>
      <c r="L186" s="10">
        <v>6783</v>
      </c>
      <c r="M186" s="33">
        <f t="shared" si="17"/>
        <v>374.05726972029</v>
      </c>
      <c r="N186" s="46">
        <f t="shared" si="18"/>
        <v>180195.0572697203</v>
      </c>
      <c r="O186" s="50">
        <f t="shared" si="19"/>
        <v>16.482813064928724</v>
      </c>
      <c r="P186" s="30">
        <f t="shared" si="20"/>
        <v>-50144.247269720305</v>
      </c>
    </row>
    <row r="187" spans="1:16" ht="12.75">
      <c r="A187" s="10">
        <v>13</v>
      </c>
      <c r="B187" s="5" t="s">
        <v>185</v>
      </c>
      <c r="C187" s="13">
        <v>3605.33</v>
      </c>
      <c r="D187" s="33">
        <v>-9210</v>
      </c>
      <c r="E187" s="38">
        <f t="shared" si="16"/>
        <v>121910.46</v>
      </c>
      <c r="F187" s="13">
        <v>114991.85</v>
      </c>
      <c r="G187" s="37">
        <v>6918.61</v>
      </c>
      <c r="H187" s="26">
        <v>30835</v>
      </c>
      <c r="I187" s="25">
        <v>41020</v>
      </c>
      <c r="J187" s="46">
        <f t="shared" si="15"/>
        <v>71855</v>
      </c>
      <c r="K187" s="26">
        <v>53683</v>
      </c>
      <c r="L187" s="10">
        <v>6711</v>
      </c>
      <c r="M187" s="33">
        <f t="shared" si="17"/>
        <v>370.077631305577</v>
      </c>
      <c r="N187" s="46">
        <f t="shared" si="18"/>
        <v>132619.07763130558</v>
      </c>
      <c r="O187" s="50">
        <f t="shared" si="19"/>
        <v>12.261390555215527</v>
      </c>
      <c r="P187" s="30">
        <f t="shared" si="20"/>
        <v>-19918.617631305577</v>
      </c>
    </row>
    <row r="188" spans="1:16" ht="12.75">
      <c r="A188" s="10">
        <v>14</v>
      </c>
      <c r="B188" s="5" t="s">
        <v>186</v>
      </c>
      <c r="C188" s="13">
        <v>1849.2</v>
      </c>
      <c r="D188" s="25">
        <v>-48388</v>
      </c>
      <c r="E188" s="38">
        <f t="shared" si="16"/>
        <v>28226.39</v>
      </c>
      <c r="F188" s="13">
        <v>28226.39</v>
      </c>
      <c r="G188" s="37"/>
      <c r="H188" s="26">
        <v>15815</v>
      </c>
      <c r="I188" s="25">
        <v>30854</v>
      </c>
      <c r="J188" s="46">
        <f t="shared" si="15"/>
        <v>46669</v>
      </c>
      <c r="K188" s="26">
        <v>13914</v>
      </c>
      <c r="L188" s="10">
        <v>3442</v>
      </c>
      <c r="M188" s="33">
        <f t="shared" si="17"/>
        <v>189.81551087148</v>
      </c>
      <c r="N188" s="46">
        <f t="shared" si="18"/>
        <v>64214.81551087148</v>
      </c>
      <c r="O188" s="50">
        <f t="shared" si="19"/>
        <v>11.575242539273106</v>
      </c>
      <c r="P188" s="30">
        <f t="shared" si="20"/>
        <v>-84376.42551087149</v>
      </c>
    </row>
    <row r="189" spans="1:16" ht="12.75">
      <c r="A189" s="10">
        <v>15</v>
      </c>
      <c r="B189" s="5" t="s">
        <v>187</v>
      </c>
      <c r="C189" s="13">
        <v>3604.48</v>
      </c>
      <c r="D189" s="25">
        <v>-58420</v>
      </c>
      <c r="E189" s="38">
        <f t="shared" si="16"/>
        <v>140498.12</v>
      </c>
      <c r="F189" s="13">
        <v>140498.12</v>
      </c>
      <c r="G189" s="37"/>
      <c r="H189" s="26">
        <v>30828</v>
      </c>
      <c r="I189" s="25">
        <v>38070</v>
      </c>
      <c r="J189" s="46">
        <f t="shared" si="15"/>
        <v>68898</v>
      </c>
      <c r="K189" s="26">
        <v>56014</v>
      </c>
      <c r="L189" s="10">
        <v>6709</v>
      </c>
      <c r="M189" s="33">
        <f t="shared" si="17"/>
        <v>369.990381043712</v>
      </c>
      <c r="N189" s="46">
        <f t="shared" si="18"/>
        <v>131990.99038104372</v>
      </c>
      <c r="O189" s="50">
        <f t="shared" si="19"/>
        <v>12.206198062877652</v>
      </c>
      <c r="P189" s="30">
        <f t="shared" si="20"/>
        <v>-49912.87038104373</v>
      </c>
    </row>
    <row r="190" spans="1:16" ht="12.75">
      <c r="A190" s="10">
        <v>16</v>
      </c>
      <c r="B190" s="5" t="s">
        <v>188</v>
      </c>
      <c r="C190" s="13">
        <v>3618.73</v>
      </c>
      <c r="D190" s="25">
        <v>-38981</v>
      </c>
      <c r="E190" s="38">
        <f t="shared" si="16"/>
        <v>119350.73</v>
      </c>
      <c r="F190" s="13">
        <v>119350.73</v>
      </c>
      <c r="G190" s="37"/>
      <c r="H190" s="26">
        <v>30950</v>
      </c>
      <c r="I190" s="25">
        <v>40244</v>
      </c>
      <c r="J190" s="46">
        <f t="shared" si="15"/>
        <v>71194</v>
      </c>
      <c r="K190" s="26">
        <v>27969</v>
      </c>
      <c r="L190" s="10">
        <v>6736</v>
      </c>
      <c r="M190" s="33">
        <f t="shared" si="17"/>
        <v>371.453106022037</v>
      </c>
      <c r="N190" s="46">
        <f t="shared" si="18"/>
        <v>106270.45310602203</v>
      </c>
      <c r="O190" s="50">
        <f t="shared" si="19"/>
        <v>9.788927156398518</v>
      </c>
      <c r="P190" s="30">
        <f t="shared" si="20"/>
        <v>-25900.723106022037</v>
      </c>
    </row>
    <row r="191" spans="1:16" ht="12.75">
      <c r="A191" s="10">
        <v>17</v>
      </c>
      <c r="B191" s="5" t="s">
        <v>189</v>
      </c>
      <c r="C191" s="13">
        <v>3887.7</v>
      </c>
      <c r="D191" s="25">
        <v>-35160</v>
      </c>
      <c r="E191" s="38">
        <f t="shared" si="16"/>
        <v>143358.47</v>
      </c>
      <c r="F191" s="13">
        <v>143358.47</v>
      </c>
      <c r="G191" s="37"/>
      <c r="H191" s="26">
        <v>33250</v>
      </c>
      <c r="I191" s="25">
        <v>35776</v>
      </c>
      <c r="J191" s="46">
        <f>H191+I191</f>
        <v>69026</v>
      </c>
      <c r="K191" s="26">
        <v>130990</v>
      </c>
      <c r="L191" s="10">
        <v>7237</v>
      </c>
      <c r="M191" s="33">
        <f t="shared" si="17"/>
        <v>399.06216829713</v>
      </c>
      <c r="N191" s="46">
        <f t="shared" si="18"/>
        <v>207652.06216829713</v>
      </c>
      <c r="O191" s="50">
        <f t="shared" si="19"/>
        <v>17.804191181443795</v>
      </c>
      <c r="P191" s="30">
        <f t="shared" si="20"/>
        <v>-99453.59216829712</v>
      </c>
    </row>
    <row r="192" spans="1:16" ht="12.75">
      <c r="A192" s="10">
        <v>18</v>
      </c>
      <c r="B192" s="5" t="s">
        <v>190</v>
      </c>
      <c r="C192" s="13">
        <v>3615.45</v>
      </c>
      <c r="D192" s="25">
        <v>-93246</v>
      </c>
      <c r="E192" s="38">
        <f t="shared" si="16"/>
        <v>96077.04</v>
      </c>
      <c r="F192" s="10">
        <v>96077.04</v>
      </c>
      <c r="G192" s="37"/>
      <c r="H192" s="26">
        <v>30921</v>
      </c>
      <c r="I192" s="25">
        <v>37384</v>
      </c>
      <c r="J192" s="46">
        <f>H192+I192</f>
        <v>68305</v>
      </c>
      <c r="K192" s="26">
        <v>68404</v>
      </c>
      <c r="L192" s="10">
        <v>6730</v>
      </c>
      <c r="M192" s="33">
        <f t="shared" si="17"/>
        <v>371.11642265860496</v>
      </c>
      <c r="N192" s="46">
        <f t="shared" si="18"/>
        <v>143810.1164226586</v>
      </c>
      <c r="O192" s="50">
        <f t="shared" si="19"/>
        <v>13.258848960494417</v>
      </c>
      <c r="P192" s="30">
        <f t="shared" si="20"/>
        <v>-140979.07642265863</v>
      </c>
    </row>
    <row r="193" spans="1:16" ht="12.75">
      <c r="A193" s="10">
        <v>19</v>
      </c>
      <c r="B193" s="5" t="s">
        <v>191</v>
      </c>
      <c r="C193" s="13">
        <v>2678.39</v>
      </c>
      <c r="D193" s="25">
        <v>-23810</v>
      </c>
      <c r="E193" s="38">
        <f t="shared" si="16"/>
        <v>82373.25</v>
      </c>
      <c r="F193" s="13">
        <v>82373.25</v>
      </c>
      <c r="G193" s="37"/>
      <c r="H193" s="26">
        <v>22907</v>
      </c>
      <c r="I193" s="25">
        <v>31996</v>
      </c>
      <c r="J193" s="46">
        <f>H193+I193</f>
        <v>54903</v>
      </c>
      <c r="K193" s="26">
        <v>49897</v>
      </c>
      <c r="L193" s="10">
        <v>4986</v>
      </c>
      <c r="M193" s="33">
        <f t="shared" si="17"/>
        <v>274.92968103129095</v>
      </c>
      <c r="N193" s="46">
        <f t="shared" si="18"/>
        <v>110060.9296810313</v>
      </c>
      <c r="O193" s="50">
        <f t="shared" si="19"/>
        <v>13.697399019688605</v>
      </c>
      <c r="P193" s="30">
        <f t="shared" si="20"/>
        <v>-51497.679681031295</v>
      </c>
    </row>
    <row r="194" spans="1:16" ht="12.75">
      <c r="A194" s="10">
        <v>20</v>
      </c>
      <c r="B194" s="5" t="s">
        <v>192</v>
      </c>
      <c r="C194" s="13">
        <v>3614.83</v>
      </c>
      <c r="D194" s="25">
        <v>-145627</v>
      </c>
      <c r="E194" s="38">
        <f t="shared" si="16"/>
        <v>78684.06</v>
      </c>
      <c r="F194" s="13">
        <v>78684.06</v>
      </c>
      <c r="G194" s="37"/>
      <c r="H194" s="26">
        <v>30916</v>
      </c>
      <c r="I194" s="25">
        <v>33136</v>
      </c>
      <c r="J194" s="46">
        <f aca="true" t="shared" si="21" ref="J194:J207">H194+I194</f>
        <v>64052</v>
      </c>
      <c r="K194" s="26">
        <v>40680</v>
      </c>
      <c r="L194" s="10">
        <v>7229</v>
      </c>
      <c r="M194" s="33">
        <f t="shared" si="17"/>
        <v>371.05278129112696</v>
      </c>
      <c r="N194" s="46">
        <f t="shared" si="18"/>
        <v>112332.05278129113</v>
      </c>
      <c r="O194" s="50">
        <f t="shared" si="19"/>
        <v>10.358444959725274</v>
      </c>
      <c r="P194" s="30">
        <f t="shared" si="20"/>
        <v>-179274.99278129113</v>
      </c>
    </row>
    <row r="195" spans="1:16" ht="12.75">
      <c r="A195" s="10">
        <v>21</v>
      </c>
      <c r="B195" s="5" t="s">
        <v>193</v>
      </c>
      <c r="C195" s="13">
        <v>3608.85</v>
      </c>
      <c r="D195" s="25">
        <v>-74393</v>
      </c>
      <c r="E195" s="38">
        <f t="shared" si="16"/>
        <v>102571.69</v>
      </c>
      <c r="F195" s="13">
        <v>102571.69</v>
      </c>
      <c r="G195" s="37"/>
      <c r="H195" s="26">
        <v>30865</v>
      </c>
      <c r="I195" s="25">
        <v>36587</v>
      </c>
      <c r="J195" s="46">
        <f t="shared" si="21"/>
        <v>67452</v>
      </c>
      <c r="K195" s="26">
        <v>106318</v>
      </c>
      <c r="L195" s="10">
        <v>6718</v>
      </c>
      <c r="M195" s="33">
        <f t="shared" si="17"/>
        <v>370.43895003706496</v>
      </c>
      <c r="N195" s="46">
        <f t="shared" si="18"/>
        <v>180858.43895003706</v>
      </c>
      <c r="O195" s="50">
        <f t="shared" si="19"/>
        <v>16.705085087127205</v>
      </c>
      <c r="P195" s="30">
        <f t="shared" si="20"/>
        <v>-152679.74895003706</v>
      </c>
    </row>
    <row r="196" spans="1:16" ht="12.75">
      <c r="A196" s="10">
        <v>22</v>
      </c>
      <c r="B196" s="5" t="s">
        <v>194</v>
      </c>
      <c r="C196" s="13">
        <v>3608.24</v>
      </c>
      <c r="D196" s="25">
        <v>-6962</v>
      </c>
      <c r="E196" s="38">
        <f t="shared" si="16"/>
        <v>87675.92</v>
      </c>
      <c r="F196" s="13">
        <v>87675.92</v>
      </c>
      <c r="G196" s="37"/>
      <c r="H196" s="26">
        <v>30860</v>
      </c>
      <c r="I196" s="25">
        <v>34900</v>
      </c>
      <c r="J196" s="46">
        <f t="shared" si="21"/>
        <v>65760</v>
      </c>
      <c r="K196" s="26">
        <v>54314</v>
      </c>
      <c r="L196" s="10">
        <v>6716</v>
      </c>
      <c r="M196" s="33">
        <f t="shared" si="17"/>
        <v>370.376335143256</v>
      </c>
      <c r="N196" s="46">
        <f t="shared" si="18"/>
        <v>127160.37633514326</v>
      </c>
      <c r="O196" s="50">
        <f t="shared" si="19"/>
        <v>11.74722083667229</v>
      </c>
      <c r="P196" s="30">
        <f t="shared" si="20"/>
        <v>-46446.45633514326</v>
      </c>
    </row>
    <row r="197" spans="1:16" ht="12.75">
      <c r="A197" s="10">
        <v>23</v>
      </c>
      <c r="B197" s="5" t="s">
        <v>195</v>
      </c>
      <c r="C197" s="13">
        <v>2527.69</v>
      </c>
      <c r="D197" s="25">
        <v>-37760</v>
      </c>
      <c r="E197" s="38">
        <f t="shared" si="16"/>
        <v>66139.73</v>
      </c>
      <c r="F197" s="13">
        <v>66139.73</v>
      </c>
      <c r="G197" s="37"/>
      <c r="H197" s="26">
        <v>21618</v>
      </c>
      <c r="I197" s="25">
        <v>30853</v>
      </c>
      <c r="J197" s="46">
        <f t="shared" si="21"/>
        <v>52471</v>
      </c>
      <c r="K197" s="26">
        <v>25783</v>
      </c>
      <c r="L197" s="10">
        <v>4705</v>
      </c>
      <c r="M197" s="33">
        <f t="shared" si="17"/>
        <v>259.46072283946097</v>
      </c>
      <c r="N197" s="46">
        <f t="shared" si="18"/>
        <v>83218.46072283946</v>
      </c>
      <c r="O197" s="50">
        <f t="shared" si="19"/>
        <v>10.974244036101402</v>
      </c>
      <c r="P197" s="30">
        <f t="shared" si="20"/>
        <v>-54838.730722839464</v>
      </c>
    </row>
    <row r="198" spans="1:16" ht="12.75">
      <c r="A198" s="10">
        <v>24</v>
      </c>
      <c r="B198" s="5" t="s">
        <v>196</v>
      </c>
      <c r="C198" s="13">
        <v>3613.63</v>
      </c>
      <c r="D198" s="25">
        <v>-11564</v>
      </c>
      <c r="E198" s="38">
        <f t="shared" si="16"/>
        <v>90767.99</v>
      </c>
      <c r="F198" s="13">
        <v>83718.08</v>
      </c>
      <c r="G198" s="37">
        <v>7049.91</v>
      </c>
      <c r="H198" s="26">
        <v>30906</v>
      </c>
      <c r="I198" s="25">
        <v>35793</v>
      </c>
      <c r="J198" s="46">
        <f t="shared" si="21"/>
        <v>66699</v>
      </c>
      <c r="K198" s="26">
        <v>71325</v>
      </c>
      <c r="L198" s="10">
        <v>6726</v>
      </c>
      <c r="M198" s="33">
        <f t="shared" si="17"/>
        <v>370.92960445084697</v>
      </c>
      <c r="N198" s="46">
        <f t="shared" si="18"/>
        <v>145120.92960445085</v>
      </c>
      <c r="O198" s="50">
        <f t="shared" si="19"/>
        <v>13.3864405601801</v>
      </c>
      <c r="P198" s="30">
        <f t="shared" si="20"/>
        <v>-65916.93960445085</v>
      </c>
    </row>
    <row r="199" spans="1:16" ht="12.75">
      <c r="A199" s="10">
        <v>25</v>
      </c>
      <c r="B199" s="5" t="s">
        <v>197</v>
      </c>
      <c r="C199" s="13">
        <v>3657.15</v>
      </c>
      <c r="D199" s="25">
        <v>-109537</v>
      </c>
      <c r="E199" s="38">
        <f t="shared" si="16"/>
        <v>104271.95</v>
      </c>
      <c r="F199" s="13">
        <v>104271.95</v>
      </c>
      <c r="G199" s="37"/>
      <c r="H199" s="26">
        <v>31278</v>
      </c>
      <c r="I199" s="25">
        <v>36605</v>
      </c>
      <c r="J199" s="46">
        <f t="shared" si="21"/>
        <v>67883</v>
      </c>
      <c r="K199" s="26">
        <v>31025</v>
      </c>
      <c r="L199" s="10">
        <v>6807</v>
      </c>
      <c r="M199" s="33">
        <f t="shared" si="17"/>
        <v>375.396817858335</v>
      </c>
      <c r="N199" s="46">
        <f t="shared" si="18"/>
        <v>106090.39681785833</v>
      </c>
      <c r="O199" s="50">
        <f t="shared" si="19"/>
        <v>9.669678740536423</v>
      </c>
      <c r="P199" s="30">
        <f t="shared" si="20"/>
        <v>-111355.44681785833</v>
      </c>
    </row>
    <row r="200" spans="1:16" ht="12.75">
      <c r="A200" s="10">
        <v>26</v>
      </c>
      <c r="B200" s="5" t="s">
        <v>198</v>
      </c>
      <c r="C200" s="13">
        <v>3613.94</v>
      </c>
      <c r="D200" s="25">
        <v>-19785</v>
      </c>
      <c r="E200" s="38">
        <f t="shared" si="16"/>
        <v>123519.02</v>
      </c>
      <c r="F200" s="13">
        <v>119835</v>
      </c>
      <c r="G200" s="37">
        <v>3684.02</v>
      </c>
      <c r="H200" s="26">
        <v>30909</v>
      </c>
      <c r="I200" s="25">
        <v>38009</v>
      </c>
      <c r="J200" s="46">
        <f t="shared" si="21"/>
        <v>68918</v>
      </c>
      <c r="K200" s="26">
        <v>175442</v>
      </c>
      <c r="L200" s="10">
        <v>6727</v>
      </c>
      <c r="M200" s="33">
        <f t="shared" si="17"/>
        <v>370.96142513458597</v>
      </c>
      <c r="N200" s="46">
        <f t="shared" si="18"/>
        <v>251457.9614251346</v>
      </c>
      <c r="O200" s="50">
        <f t="shared" si="19"/>
        <v>23.193334829865705</v>
      </c>
      <c r="P200" s="30">
        <f t="shared" si="20"/>
        <v>-147723.9414251346</v>
      </c>
    </row>
    <row r="201" spans="1:16" ht="12.75">
      <c r="A201" s="10">
        <v>27</v>
      </c>
      <c r="B201" s="5" t="s">
        <v>199</v>
      </c>
      <c r="C201" s="13">
        <v>3619.08</v>
      </c>
      <c r="D201" s="25">
        <v>-201741</v>
      </c>
      <c r="E201" s="38">
        <f t="shared" si="16"/>
        <v>118616.18</v>
      </c>
      <c r="F201" s="13">
        <v>118616.18</v>
      </c>
      <c r="G201" s="37"/>
      <c r="H201" s="26">
        <v>30953</v>
      </c>
      <c r="I201" s="25">
        <v>38590</v>
      </c>
      <c r="J201" s="46">
        <f t="shared" si="21"/>
        <v>69543</v>
      </c>
      <c r="K201" s="26">
        <v>181412</v>
      </c>
      <c r="L201" s="10">
        <v>6737</v>
      </c>
      <c r="M201" s="33">
        <f t="shared" si="17"/>
        <v>371.489032600452</v>
      </c>
      <c r="N201" s="46">
        <f t="shared" si="18"/>
        <v>258063.48903260045</v>
      </c>
      <c r="O201" s="50">
        <f t="shared" si="19"/>
        <v>23.768792900645142</v>
      </c>
      <c r="P201" s="30">
        <f t="shared" si="20"/>
        <v>-341188.3090326005</v>
      </c>
    </row>
    <row r="202" spans="1:16" ht="12.75">
      <c r="A202" s="10">
        <v>28</v>
      </c>
      <c r="B202" s="5" t="s">
        <v>200</v>
      </c>
      <c r="C202" s="13">
        <v>3626.99</v>
      </c>
      <c r="D202" s="25">
        <v>-10030</v>
      </c>
      <c r="E202" s="38">
        <f t="shared" si="16"/>
        <v>96175.28</v>
      </c>
      <c r="F202" s="13">
        <v>96175.28</v>
      </c>
      <c r="G202" s="37"/>
      <c r="H202" s="26">
        <v>31020</v>
      </c>
      <c r="I202" s="25">
        <v>38134</v>
      </c>
      <c r="J202" s="46">
        <f t="shared" si="21"/>
        <v>69154</v>
      </c>
      <c r="K202" s="26">
        <v>63450</v>
      </c>
      <c r="L202" s="10">
        <v>6751</v>
      </c>
      <c r="M202" s="33">
        <f t="shared" si="17"/>
        <v>372.300973272631</v>
      </c>
      <c r="N202" s="46">
        <f t="shared" si="18"/>
        <v>139727.30097327262</v>
      </c>
      <c r="O202" s="50">
        <f t="shared" si="19"/>
        <v>12.841437939197759</v>
      </c>
      <c r="P202" s="30">
        <f t="shared" si="20"/>
        <v>-53582.02097327262</v>
      </c>
    </row>
    <row r="203" spans="1:16" ht="12.75">
      <c r="A203" s="10">
        <v>29</v>
      </c>
      <c r="B203" s="5" t="s">
        <v>201</v>
      </c>
      <c r="C203" s="13">
        <v>3621.21</v>
      </c>
      <c r="D203" s="25">
        <v>-42057</v>
      </c>
      <c r="E203" s="38">
        <f t="shared" si="16"/>
        <v>174523.89</v>
      </c>
      <c r="F203" s="13">
        <v>174523.89</v>
      </c>
      <c r="G203" s="37"/>
      <c r="H203" s="26">
        <v>30971</v>
      </c>
      <c r="I203" s="25">
        <v>40116</v>
      </c>
      <c r="J203" s="46">
        <f t="shared" si="21"/>
        <v>71087</v>
      </c>
      <c r="K203" s="26">
        <v>361611</v>
      </c>
      <c r="L203" s="10">
        <v>6741</v>
      </c>
      <c r="M203" s="33">
        <f t="shared" si="17"/>
        <v>371.707671491949</v>
      </c>
      <c r="N203" s="46">
        <f t="shared" si="18"/>
        <v>439810.70767149195</v>
      </c>
      <c r="O203" s="50">
        <f t="shared" si="19"/>
        <v>40.484691366651106</v>
      </c>
      <c r="P203" s="30">
        <f t="shared" si="20"/>
        <v>-307343.81767149194</v>
      </c>
    </row>
    <row r="204" spans="1:16" ht="12.75">
      <c r="A204" s="10">
        <v>30</v>
      </c>
      <c r="B204" s="5" t="s">
        <v>202</v>
      </c>
      <c r="C204" s="13">
        <v>3616.22</v>
      </c>
      <c r="D204" s="25">
        <v>20660</v>
      </c>
      <c r="E204" s="38">
        <f t="shared" si="16"/>
        <v>115490.3</v>
      </c>
      <c r="F204" s="13">
        <v>115490.3</v>
      </c>
      <c r="G204" s="37"/>
      <c r="H204" s="26">
        <v>30928</v>
      </c>
      <c r="I204" s="25">
        <v>38532</v>
      </c>
      <c r="J204" s="46">
        <f t="shared" si="21"/>
        <v>69460</v>
      </c>
      <c r="K204" s="26">
        <v>51235</v>
      </c>
      <c r="L204" s="10">
        <v>6731</v>
      </c>
      <c r="M204" s="33">
        <f t="shared" si="17"/>
        <v>371.19546113111795</v>
      </c>
      <c r="N204" s="46">
        <f t="shared" si="18"/>
        <v>127797.19546113112</v>
      </c>
      <c r="O204" s="50">
        <f t="shared" si="19"/>
        <v>11.779998217395617</v>
      </c>
      <c r="P204" s="30">
        <f t="shared" si="20"/>
        <v>8353.104538868865</v>
      </c>
    </row>
    <row r="205" spans="1:16" ht="12.75">
      <c r="A205" s="10">
        <v>31</v>
      </c>
      <c r="B205" s="5" t="s">
        <v>203</v>
      </c>
      <c r="C205" s="13">
        <v>3641.89</v>
      </c>
      <c r="D205" s="25">
        <v>-61694</v>
      </c>
      <c r="E205" s="38">
        <f t="shared" si="16"/>
        <v>110167.5</v>
      </c>
      <c r="F205" s="13">
        <v>110167.5</v>
      </c>
      <c r="G205" s="37"/>
      <c r="H205" s="26">
        <v>31148</v>
      </c>
      <c r="I205" s="25">
        <v>40675</v>
      </c>
      <c r="J205" s="46">
        <f t="shared" si="21"/>
        <v>71823</v>
      </c>
      <c r="K205" s="26">
        <v>191177</v>
      </c>
      <c r="L205" s="10">
        <v>6779</v>
      </c>
      <c r="M205" s="33">
        <f t="shared" si="17"/>
        <v>373.830419039441</v>
      </c>
      <c r="N205" s="46">
        <f t="shared" si="18"/>
        <v>270152.8304190394</v>
      </c>
      <c r="O205" s="50">
        <f t="shared" si="19"/>
        <v>24.726431460865964</v>
      </c>
      <c r="P205" s="30">
        <f t="shared" si="20"/>
        <v>-221679.3304190394</v>
      </c>
    </row>
    <row r="206" spans="1:16" ht="12.75">
      <c r="A206" s="10">
        <v>32</v>
      </c>
      <c r="B206" s="5" t="s">
        <v>204</v>
      </c>
      <c r="C206" s="13">
        <v>3803.6</v>
      </c>
      <c r="D206" s="25">
        <v>12866</v>
      </c>
      <c r="E206" s="38">
        <f t="shared" si="16"/>
        <v>97129.22</v>
      </c>
      <c r="F206" s="13">
        <v>97129.22</v>
      </c>
      <c r="G206" s="37"/>
      <c r="H206" s="26">
        <v>32531</v>
      </c>
      <c r="I206" s="25">
        <v>39397</v>
      </c>
      <c r="J206" s="46">
        <f t="shared" si="21"/>
        <v>71928</v>
      </c>
      <c r="K206" s="26">
        <v>45621</v>
      </c>
      <c r="L206" s="10">
        <v>7080</v>
      </c>
      <c r="M206" s="33">
        <f t="shared" si="17"/>
        <v>390.42952474083995</v>
      </c>
      <c r="N206" s="46">
        <f t="shared" si="18"/>
        <v>125019.42952474084</v>
      </c>
      <c r="O206" s="50">
        <f t="shared" si="19"/>
        <v>10.956237031999583</v>
      </c>
      <c r="P206" s="30">
        <f t="shared" si="20"/>
        <v>-15024.209524740843</v>
      </c>
    </row>
    <row r="207" spans="1:16" ht="12.75">
      <c r="A207" s="10">
        <v>33</v>
      </c>
      <c r="B207" s="5" t="s">
        <v>205</v>
      </c>
      <c r="C207" s="13">
        <v>3765.82</v>
      </c>
      <c r="D207" s="25">
        <v>7642</v>
      </c>
      <c r="E207" s="38">
        <f t="shared" si="16"/>
        <v>95692.3</v>
      </c>
      <c r="F207" s="13">
        <v>94931.98</v>
      </c>
      <c r="G207" s="37">
        <v>760.32</v>
      </c>
      <c r="H207" s="26">
        <v>32208</v>
      </c>
      <c r="I207" s="25">
        <v>37257</v>
      </c>
      <c r="J207" s="46">
        <f t="shared" si="21"/>
        <v>69465</v>
      </c>
      <c r="K207" s="26">
        <v>42912</v>
      </c>
      <c r="L207" s="10">
        <v>7010</v>
      </c>
      <c r="M207" s="33">
        <f t="shared" si="17"/>
        <v>386.551507219358</v>
      </c>
      <c r="N207" s="46">
        <f t="shared" si="18"/>
        <v>119773.55150721935</v>
      </c>
      <c r="O207" s="50">
        <f t="shared" si="19"/>
        <v>10.601812399178165</v>
      </c>
      <c r="P207" s="30">
        <f t="shared" si="20"/>
        <v>-16439.25150721935</v>
      </c>
    </row>
    <row r="208" spans="1:16" ht="12.75">
      <c r="A208" s="10"/>
      <c r="B208" s="22"/>
      <c r="C208" s="22"/>
      <c r="D208" s="25"/>
      <c r="E208" s="38">
        <f t="shared" si="16"/>
        <v>0</v>
      </c>
      <c r="F208" s="22"/>
      <c r="G208" s="40"/>
      <c r="H208" s="34"/>
      <c r="I208" s="44"/>
      <c r="J208" s="47"/>
      <c r="K208" s="34"/>
      <c r="L208" s="22"/>
      <c r="M208" s="33">
        <f t="shared" si="17"/>
        <v>0</v>
      </c>
      <c r="N208" s="46">
        <f t="shared" si="18"/>
        <v>0</v>
      </c>
      <c r="O208" s="50"/>
      <c r="P208" s="30">
        <f t="shared" si="20"/>
        <v>0</v>
      </c>
    </row>
    <row r="209" spans="1:16" ht="12.75">
      <c r="A209" s="10">
        <v>34</v>
      </c>
      <c r="B209" s="5" t="s">
        <v>206</v>
      </c>
      <c r="C209" s="13">
        <v>3805.6</v>
      </c>
      <c r="D209" s="25">
        <v>-74851</v>
      </c>
      <c r="E209" s="38">
        <f t="shared" si="16"/>
        <v>115796.53</v>
      </c>
      <c r="F209" s="13">
        <v>115796.53</v>
      </c>
      <c r="G209" s="37"/>
      <c r="H209" s="26">
        <v>32548</v>
      </c>
      <c r="I209" s="25">
        <v>41798</v>
      </c>
      <c r="J209" s="46">
        <f aca="true" t="shared" si="22" ref="J209:J222">H209+I209</f>
        <v>74346</v>
      </c>
      <c r="K209" s="26">
        <v>97872</v>
      </c>
      <c r="L209" s="10">
        <v>7084</v>
      </c>
      <c r="M209" s="33">
        <f t="shared" si="17"/>
        <v>390.63481947464</v>
      </c>
      <c r="N209" s="46">
        <f t="shared" si="18"/>
        <v>179692.63481947465</v>
      </c>
      <c r="O209" s="50">
        <f t="shared" si="19"/>
        <v>15.73931704325859</v>
      </c>
      <c r="P209" s="30">
        <f t="shared" si="20"/>
        <v>-138747.10481947465</v>
      </c>
    </row>
    <row r="210" spans="1:16" ht="12.75">
      <c r="A210" s="10">
        <v>35</v>
      </c>
      <c r="B210" s="5" t="s">
        <v>207</v>
      </c>
      <c r="C210" s="13">
        <v>3812.15</v>
      </c>
      <c r="D210" s="25">
        <v>-75567</v>
      </c>
      <c r="E210" s="38">
        <f t="shared" si="16"/>
        <v>132329.53</v>
      </c>
      <c r="F210" s="13">
        <v>132329.53</v>
      </c>
      <c r="G210" s="37"/>
      <c r="H210" s="26">
        <v>32604</v>
      </c>
      <c r="I210" s="25">
        <v>43034</v>
      </c>
      <c r="J210" s="46">
        <f t="shared" si="22"/>
        <v>75638</v>
      </c>
      <c r="K210" s="26">
        <v>86087</v>
      </c>
      <c r="L210" s="10">
        <v>7096</v>
      </c>
      <c r="M210" s="33">
        <f t="shared" si="17"/>
        <v>391.30715972783497</v>
      </c>
      <c r="N210" s="46">
        <f t="shared" si="18"/>
        <v>169212.30715972785</v>
      </c>
      <c r="O210" s="50">
        <f t="shared" si="19"/>
        <v>14.795876968790827</v>
      </c>
      <c r="P210" s="30">
        <f t="shared" si="20"/>
        <v>-112449.77715972785</v>
      </c>
    </row>
    <row r="211" spans="1:16" ht="12.75">
      <c r="A211" s="10">
        <v>36</v>
      </c>
      <c r="B211" s="5" t="s">
        <v>208</v>
      </c>
      <c r="C211" s="13">
        <v>3801.02</v>
      </c>
      <c r="D211" s="25">
        <v>8583</v>
      </c>
      <c r="E211" s="38">
        <f t="shared" si="16"/>
        <v>124450.76</v>
      </c>
      <c r="F211" s="13">
        <v>124450.76</v>
      </c>
      <c r="G211" s="37"/>
      <c r="H211" s="26">
        <v>32509</v>
      </c>
      <c r="I211" s="25">
        <v>42232</v>
      </c>
      <c r="J211" s="46">
        <f t="shared" si="22"/>
        <v>74741</v>
      </c>
      <c r="K211" s="26">
        <v>43836</v>
      </c>
      <c r="L211" s="10">
        <v>7075</v>
      </c>
      <c r="M211" s="33">
        <f t="shared" si="17"/>
        <v>390.164694534238</v>
      </c>
      <c r="N211" s="46">
        <f t="shared" si="18"/>
        <v>126042.16469453424</v>
      </c>
      <c r="O211" s="50">
        <f t="shared" si="19"/>
        <v>11.053363280955658</v>
      </c>
      <c r="P211" s="30">
        <f t="shared" si="20"/>
        <v>6991.595305465773</v>
      </c>
    </row>
    <row r="212" spans="1:16" ht="12.75">
      <c r="A212" s="10">
        <v>37</v>
      </c>
      <c r="B212" s="5" t="s">
        <v>209</v>
      </c>
      <c r="C212" s="13">
        <v>3786.32</v>
      </c>
      <c r="D212" s="25">
        <v>-196701</v>
      </c>
      <c r="E212" s="38">
        <f t="shared" si="16"/>
        <v>117290.92</v>
      </c>
      <c r="F212" s="13">
        <v>117290.92</v>
      </c>
      <c r="G212" s="37"/>
      <c r="H212" s="26">
        <v>32383</v>
      </c>
      <c r="I212" s="25">
        <v>41857</v>
      </c>
      <c r="J212" s="46">
        <f t="shared" si="22"/>
        <v>74240</v>
      </c>
      <c r="K212" s="26">
        <v>64735</v>
      </c>
      <c r="L212" s="10">
        <v>7048</v>
      </c>
      <c r="M212" s="33">
        <f t="shared" si="17"/>
        <v>388.655778240808</v>
      </c>
      <c r="N212" s="46">
        <f t="shared" si="18"/>
        <v>146411.65577824082</v>
      </c>
      <c r="O212" s="50">
        <f t="shared" si="19"/>
        <v>12.889530007874031</v>
      </c>
      <c r="P212" s="30">
        <f t="shared" si="20"/>
        <v>-225821.73577824084</v>
      </c>
    </row>
    <row r="213" spans="1:16" ht="12.75">
      <c r="A213" s="10">
        <v>38</v>
      </c>
      <c r="B213" s="5" t="s">
        <v>210</v>
      </c>
      <c r="C213" s="13">
        <v>3739.54</v>
      </c>
      <c r="D213" s="25">
        <v>13798</v>
      </c>
      <c r="E213" s="38">
        <f t="shared" si="16"/>
        <v>95695.66</v>
      </c>
      <c r="F213" s="13">
        <v>95695.66</v>
      </c>
      <c r="G213" s="37"/>
      <c r="H213" s="26">
        <v>31983</v>
      </c>
      <c r="I213" s="25">
        <v>39516</v>
      </c>
      <c r="J213" s="46">
        <f t="shared" si="22"/>
        <v>71499</v>
      </c>
      <c r="K213" s="26">
        <v>63880</v>
      </c>
      <c r="L213" s="10">
        <v>6961</v>
      </c>
      <c r="M213" s="33">
        <f t="shared" si="17"/>
        <v>383.85393441722596</v>
      </c>
      <c r="N213" s="46">
        <f t="shared" si="18"/>
        <v>142723.85393441722</v>
      </c>
      <c r="O213" s="50">
        <f t="shared" si="19"/>
        <v>12.72205083463182</v>
      </c>
      <c r="P213" s="30">
        <f t="shared" si="20"/>
        <v>-33230.19393441721</v>
      </c>
    </row>
    <row r="214" spans="1:16" ht="12.75">
      <c r="A214" s="10">
        <v>39</v>
      </c>
      <c r="B214" s="5" t="s">
        <v>211</v>
      </c>
      <c r="C214" s="13">
        <v>3624.69</v>
      </c>
      <c r="D214" s="25">
        <v>-132780</v>
      </c>
      <c r="E214" s="38">
        <f t="shared" si="16"/>
        <v>103878.1</v>
      </c>
      <c r="F214" s="13">
        <v>103878.1</v>
      </c>
      <c r="G214" s="37"/>
      <c r="H214" s="26">
        <v>31001</v>
      </c>
      <c r="I214" s="25">
        <v>34136</v>
      </c>
      <c r="J214" s="46">
        <f t="shared" si="22"/>
        <v>65137</v>
      </c>
      <c r="K214" s="26">
        <v>216482</v>
      </c>
      <c r="L214" s="10">
        <v>7127</v>
      </c>
      <c r="M214" s="33">
        <f t="shared" si="17"/>
        <v>372.06488432876097</v>
      </c>
      <c r="N214" s="46">
        <f t="shared" si="18"/>
        <v>289118.06488432875</v>
      </c>
      <c r="O214" s="50">
        <f t="shared" si="19"/>
        <v>26.587842903745216</v>
      </c>
      <c r="P214" s="30">
        <f t="shared" si="20"/>
        <v>-318019.9648843288</v>
      </c>
    </row>
    <row r="215" spans="1:16" ht="12.75">
      <c r="A215" s="10">
        <v>40</v>
      </c>
      <c r="B215" s="5" t="s">
        <v>212</v>
      </c>
      <c r="C215" s="13">
        <v>2517.57</v>
      </c>
      <c r="D215" s="25">
        <v>-173113</v>
      </c>
      <c r="E215" s="38">
        <f t="shared" si="16"/>
        <v>69340.44</v>
      </c>
      <c r="F215" s="13">
        <v>69340.44</v>
      </c>
      <c r="G215" s="37"/>
      <c r="H215" s="26">
        <v>21532</v>
      </c>
      <c r="I215" s="25">
        <v>25423</v>
      </c>
      <c r="J215" s="46">
        <f t="shared" si="22"/>
        <v>46955</v>
      </c>
      <c r="K215" s="26">
        <v>56504</v>
      </c>
      <c r="L215" s="10">
        <v>4686</v>
      </c>
      <c r="M215" s="33">
        <f t="shared" si="17"/>
        <v>258.421931486433</v>
      </c>
      <c r="N215" s="46">
        <f t="shared" si="18"/>
        <v>108403.42193148643</v>
      </c>
      <c r="O215" s="50">
        <f t="shared" si="19"/>
        <v>14.352917288163644</v>
      </c>
      <c r="P215" s="30">
        <f t="shared" si="20"/>
        <v>-212175.98193148643</v>
      </c>
    </row>
    <row r="216" spans="1:16" ht="12.75">
      <c r="A216" s="10">
        <v>41</v>
      </c>
      <c r="B216" s="5" t="s">
        <v>213</v>
      </c>
      <c r="C216" s="13">
        <v>3604.55</v>
      </c>
      <c r="D216" s="25">
        <v>0</v>
      </c>
      <c r="E216" s="38">
        <f t="shared" si="16"/>
        <v>0</v>
      </c>
      <c r="F216" s="13"/>
      <c r="G216" s="37"/>
      <c r="H216" s="26"/>
      <c r="I216" s="25"/>
      <c r="J216" s="46">
        <f t="shared" si="22"/>
        <v>0</v>
      </c>
      <c r="K216" s="26"/>
      <c r="L216" s="10"/>
      <c r="M216" s="33">
        <v>0</v>
      </c>
      <c r="N216" s="46">
        <f t="shared" si="18"/>
        <v>0</v>
      </c>
      <c r="O216" s="50">
        <f t="shared" si="19"/>
        <v>0</v>
      </c>
      <c r="P216" s="30">
        <f t="shared" si="20"/>
        <v>0</v>
      </c>
    </row>
    <row r="217" spans="1:16" ht="12.75">
      <c r="A217" s="10">
        <v>42</v>
      </c>
      <c r="B217" s="5" t="s">
        <v>214</v>
      </c>
      <c r="C217" s="13">
        <v>690.44</v>
      </c>
      <c r="D217" s="25">
        <v>2336</v>
      </c>
      <c r="E217" s="38">
        <f t="shared" si="16"/>
        <v>0</v>
      </c>
      <c r="F217" s="13"/>
      <c r="G217" s="37"/>
      <c r="H217" s="26"/>
      <c r="I217" s="25"/>
      <c r="J217" s="46">
        <f t="shared" si="22"/>
        <v>0</v>
      </c>
      <c r="K217" s="26"/>
      <c r="L217" s="10"/>
      <c r="M217" s="33">
        <v>0</v>
      </c>
      <c r="N217" s="46">
        <f t="shared" si="18"/>
        <v>0</v>
      </c>
      <c r="O217" s="50">
        <f t="shared" si="19"/>
        <v>0</v>
      </c>
      <c r="P217" s="30">
        <f t="shared" si="20"/>
        <v>2336</v>
      </c>
    </row>
    <row r="218" spans="1:16" ht="12.75">
      <c r="A218" s="10">
        <v>43</v>
      </c>
      <c r="B218" s="5" t="s">
        <v>215</v>
      </c>
      <c r="C218" s="13">
        <v>654.84</v>
      </c>
      <c r="D218" s="25">
        <v>21922</v>
      </c>
      <c r="E218" s="38">
        <f t="shared" si="16"/>
        <v>20515.52</v>
      </c>
      <c r="F218" s="13">
        <v>20515.52</v>
      </c>
      <c r="G218" s="37"/>
      <c r="H218" s="26">
        <v>5601</v>
      </c>
      <c r="I218" s="25">
        <v>8342</v>
      </c>
      <c r="J218" s="46">
        <f t="shared" si="22"/>
        <v>13943</v>
      </c>
      <c r="K218" s="26">
        <v>7486</v>
      </c>
      <c r="L218" s="10">
        <v>1219</v>
      </c>
      <c r="M218" s="33">
        <f t="shared" si="17"/>
        <v>67.217601740796</v>
      </c>
      <c r="N218" s="46">
        <f t="shared" si="18"/>
        <v>22715.217601740795</v>
      </c>
      <c r="O218" s="50">
        <f t="shared" si="19"/>
        <v>11.562731660528167</v>
      </c>
      <c r="P218" s="30">
        <f t="shared" si="20"/>
        <v>19722.30239825921</v>
      </c>
    </row>
    <row r="219" spans="1:16" ht="12.75">
      <c r="A219" s="10">
        <v>44</v>
      </c>
      <c r="B219" s="5" t="s">
        <v>216</v>
      </c>
      <c r="C219" s="13">
        <v>1806.12</v>
      </c>
      <c r="D219" s="25">
        <v>-21834</v>
      </c>
      <c r="E219" s="38">
        <f t="shared" si="16"/>
        <v>62934.89</v>
      </c>
      <c r="F219" s="13">
        <v>62934.89</v>
      </c>
      <c r="G219" s="37"/>
      <c r="H219" s="26">
        <v>15447</v>
      </c>
      <c r="I219" s="25">
        <v>21047</v>
      </c>
      <c r="J219" s="46">
        <f t="shared" si="22"/>
        <v>36494</v>
      </c>
      <c r="K219" s="26">
        <v>22852</v>
      </c>
      <c r="L219" s="10">
        <v>3362</v>
      </c>
      <c r="M219" s="33">
        <f t="shared" si="17"/>
        <v>185.393462305428</v>
      </c>
      <c r="N219" s="46">
        <f t="shared" si="18"/>
        <v>62893.39346230543</v>
      </c>
      <c r="O219" s="50">
        <f t="shared" si="19"/>
        <v>11.607459353440051</v>
      </c>
      <c r="P219" s="30">
        <f t="shared" si="20"/>
        <v>-21792.50346230543</v>
      </c>
    </row>
    <row r="220" spans="1:16" ht="12.75">
      <c r="A220" s="10">
        <v>45</v>
      </c>
      <c r="B220" s="5" t="s">
        <v>217</v>
      </c>
      <c r="C220" s="13">
        <v>1493.57</v>
      </c>
      <c r="D220" s="25">
        <v>-8432</v>
      </c>
      <c r="E220" s="38">
        <f t="shared" si="16"/>
        <v>3701.2</v>
      </c>
      <c r="F220" s="13">
        <v>3701.2</v>
      </c>
      <c r="G220" s="37"/>
      <c r="H220" s="26"/>
      <c r="I220" s="25"/>
      <c r="J220" s="46">
        <f t="shared" si="22"/>
        <v>0</v>
      </c>
      <c r="K220" s="26">
        <v>26098</v>
      </c>
      <c r="L220" s="10"/>
      <c r="M220" s="33"/>
      <c r="N220" s="46">
        <f t="shared" si="18"/>
        <v>26098</v>
      </c>
      <c r="O220" s="50">
        <f t="shared" si="19"/>
        <v>5.824523345630492</v>
      </c>
      <c r="P220" s="30">
        <f t="shared" si="20"/>
        <v>-30828.8</v>
      </c>
    </row>
    <row r="221" spans="1:16" ht="12.75">
      <c r="A221" s="10">
        <v>46</v>
      </c>
      <c r="B221" s="5" t="s">
        <v>449</v>
      </c>
      <c r="C221" s="10">
        <v>1999.99</v>
      </c>
      <c r="D221" s="25">
        <v>-105769</v>
      </c>
      <c r="E221" s="38">
        <f t="shared" si="16"/>
        <v>58435.5</v>
      </c>
      <c r="F221" s="13">
        <v>58435.5</v>
      </c>
      <c r="G221" s="37"/>
      <c r="H221" s="26">
        <v>17105</v>
      </c>
      <c r="I221" s="25">
        <v>74176</v>
      </c>
      <c r="J221" s="46">
        <f t="shared" si="22"/>
        <v>91281</v>
      </c>
      <c r="K221" s="26">
        <v>12820</v>
      </c>
      <c r="L221" s="10">
        <v>3723</v>
      </c>
      <c r="M221" s="33">
        <f t="shared" si="17"/>
        <v>205.293707326331</v>
      </c>
      <c r="N221" s="46">
        <f t="shared" si="18"/>
        <v>108029.29370732633</v>
      </c>
      <c r="O221" s="50">
        <f t="shared" si="19"/>
        <v>18.004972309415937</v>
      </c>
      <c r="P221" s="30">
        <f t="shared" si="20"/>
        <v>-155362.79370732635</v>
      </c>
    </row>
    <row r="222" spans="1:16" ht="12.75">
      <c r="A222" s="10">
        <v>47</v>
      </c>
      <c r="B222" s="5" t="s">
        <v>314</v>
      </c>
      <c r="C222" s="10">
        <v>1443.12</v>
      </c>
      <c r="D222" s="25">
        <v>-27018</v>
      </c>
      <c r="E222" s="38">
        <f t="shared" si="16"/>
        <v>38962.99</v>
      </c>
      <c r="F222" s="13">
        <v>38962.99</v>
      </c>
      <c r="G222" s="37"/>
      <c r="H222" s="60">
        <v>12352</v>
      </c>
      <c r="I222" s="25">
        <v>18797</v>
      </c>
      <c r="J222" s="46">
        <f t="shared" si="22"/>
        <v>31149</v>
      </c>
      <c r="K222" s="26">
        <v>31169</v>
      </c>
      <c r="L222" s="10">
        <v>2082</v>
      </c>
      <c r="M222" s="33">
        <f t="shared" si="17"/>
        <v>148.132468120728</v>
      </c>
      <c r="N222" s="46">
        <f t="shared" si="18"/>
        <v>64548.132468120726</v>
      </c>
      <c r="O222" s="50">
        <f t="shared" si="19"/>
        <v>14.909393644354068</v>
      </c>
      <c r="P222" s="30">
        <f t="shared" si="20"/>
        <v>-52603.14246812073</v>
      </c>
    </row>
    <row r="223" spans="1:16" ht="13.5" thickBot="1">
      <c r="A223" s="5"/>
      <c r="B223" s="5" t="s">
        <v>243</v>
      </c>
      <c r="C223" s="7">
        <f>SUM(C175:C222)</f>
        <v>158839.53000000003</v>
      </c>
      <c r="D223" s="33">
        <f>SUM(D175:D222)</f>
        <v>-1930755</v>
      </c>
      <c r="E223" s="38">
        <f t="shared" si="16"/>
        <v>4594741.06</v>
      </c>
      <c r="F223" s="42">
        <f>SUM(F176:F222)</f>
        <v>4576328.199999999</v>
      </c>
      <c r="G223" s="43">
        <f>SUM(G175:G222)</f>
        <v>18412.86</v>
      </c>
      <c r="H223" s="26">
        <f aca="true" t="shared" si="23" ref="H223:M223">SUM(H176:H222)</f>
        <v>1241985</v>
      </c>
      <c r="I223" s="25">
        <f t="shared" si="23"/>
        <v>1607268</v>
      </c>
      <c r="J223" s="48">
        <f t="shared" si="23"/>
        <v>2849253</v>
      </c>
      <c r="K223" s="26">
        <f t="shared" si="23"/>
        <v>3591177</v>
      </c>
      <c r="L223" s="10">
        <f t="shared" si="23"/>
        <v>246935</v>
      </c>
      <c r="M223" s="25">
        <f t="shared" si="23"/>
        <v>14905.999999277308</v>
      </c>
      <c r="N223" s="46">
        <f t="shared" si="18"/>
        <v>6702270.999999277</v>
      </c>
      <c r="O223" s="51">
        <f>N223/3/C223</f>
        <v>14.06507771291625</v>
      </c>
      <c r="P223" s="12">
        <f>SUM(P175:P222)</f>
        <v>-4038284.939999278</v>
      </c>
    </row>
    <row r="224" spans="1:16" ht="12.75">
      <c r="A224" s="29"/>
      <c r="B224" s="29"/>
      <c r="C224" s="29"/>
      <c r="D224" s="29"/>
      <c r="E224" s="29"/>
      <c r="F224" s="29"/>
      <c r="G224" s="29"/>
      <c r="H224" s="59"/>
      <c r="I224" s="29"/>
      <c r="J224" s="29"/>
      <c r="K224" s="29"/>
      <c r="L224" s="29"/>
      <c r="M224" s="29"/>
      <c r="N224" s="29"/>
      <c r="O224" s="29"/>
      <c r="P224" s="29"/>
    </row>
    <row r="225" spans="1:16" ht="12.75">
      <c r="A225" s="29"/>
      <c r="B225" s="29"/>
      <c r="C225" s="29"/>
      <c r="D225" s="29"/>
      <c r="E225" s="29"/>
      <c r="F225" s="29"/>
      <c r="G225" s="29"/>
      <c r="H225" s="59"/>
      <c r="I225" s="29"/>
      <c r="J225" s="29"/>
      <c r="K225" s="29"/>
      <c r="L225" s="29"/>
      <c r="M225" s="29"/>
      <c r="N225" s="29"/>
      <c r="O225" s="29"/>
      <c r="P225" s="29"/>
    </row>
    <row r="226" spans="1:16" ht="12.75">
      <c r="A226" s="29"/>
      <c r="B226" s="29" t="s">
        <v>244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 t="s">
        <v>245</v>
      </c>
      <c r="M226" s="29"/>
      <c r="N226" s="29"/>
      <c r="O226" s="29"/>
      <c r="P226" s="29"/>
    </row>
    <row r="227" spans="1:16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2.75">
      <c r="A228" s="29"/>
      <c r="B228" s="29" t="s">
        <v>246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 t="s">
        <v>247</v>
      </c>
      <c r="M228" s="29"/>
      <c r="N228" s="29"/>
      <c r="O228" s="29"/>
      <c r="P228" s="29"/>
    </row>
    <row r="231" spans="2:6" ht="12.75">
      <c r="B231" t="s">
        <v>564</v>
      </c>
      <c r="F231">
        <v>4626900.25</v>
      </c>
    </row>
    <row r="233" ht="12.75">
      <c r="F233" s="116">
        <f>F223-F231</f>
        <v>-50572.050000000745</v>
      </c>
    </row>
    <row r="253" spans="1:16" ht="12.75">
      <c r="A253" s="29"/>
      <c r="B253" s="29"/>
      <c r="C253" s="29"/>
      <c r="D253" s="62" t="s">
        <v>222</v>
      </c>
      <c r="E253" s="62"/>
      <c r="F253" s="62"/>
      <c r="G253" s="62"/>
      <c r="H253" s="62"/>
      <c r="I253" s="62"/>
      <c r="J253" s="62"/>
      <c r="K253" s="62"/>
      <c r="L253" s="29"/>
      <c r="M253" s="29"/>
      <c r="N253" s="29"/>
      <c r="O253" s="29"/>
      <c r="P253" s="29"/>
    </row>
    <row r="254" spans="1:16" ht="13.5" thickBot="1">
      <c r="A254" s="29"/>
      <c r="B254" s="29"/>
      <c r="C254" s="29"/>
      <c r="D254" s="62"/>
      <c r="E254" s="62"/>
      <c r="F254" s="62"/>
      <c r="G254" s="62"/>
      <c r="H254" s="62"/>
      <c r="I254" s="62"/>
      <c r="J254" s="62" t="s">
        <v>525</v>
      </c>
      <c r="K254" s="62"/>
      <c r="L254" s="29"/>
      <c r="M254" s="29"/>
      <c r="N254" s="29"/>
      <c r="O254" s="29"/>
      <c r="P254" s="29"/>
    </row>
    <row r="255" spans="1:16" ht="23.25" customHeight="1">
      <c r="A255" s="198" t="s">
        <v>0</v>
      </c>
      <c r="B255" s="201" t="s">
        <v>167</v>
      </c>
      <c r="C255" s="188" t="s">
        <v>165</v>
      </c>
      <c r="D255" s="145" t="s">
        <v>313</v>
      </c>
      <c r="E255" s="183" t="s">
        <v>566</v>
      </c>
      <c r="F255" s="184"/>
      <c r="G255" s="185"/>
      <c r="H255" s="186" t="s">
        <v>221</v>
      </c>
      <c r="I255" s="186"/>
      <c r="J255" s="186"/>
      <c r="K255" s="186"/>
      <c r="L255" s="186"/>
      <c r="M255" s="186"/>
      <c r="N255" s="186"/>
      <c r="O255" s="187"/>
      <c r="P255" s="188" t="s">
        <v>172</v>
      </c>
    </row>
    <row r="256" spans="1:16" ht="13.5" thickBot="1">
      <c r="A256" s="199"/>
      <c r="B256" s="202"/>
      <c r="C256" s="189"/>
      <c r="D256" s="146"/>
      <c r="E256" s="191" t="s">
        <v>169</v>
      </c>
      <c r="F256" s="193" t="s">
        <v>163</v>
      </c>
      <c r="G256" s="194"/>
      <c r="H256" s="195" t="s">
        <v>166</v>
      </c>
      <c r="I256" s="195"/>
      <c r="J256" s="196"/>
      <c r="K256" s="195"/>
      <c r="L256" s="195"/>
      <c r="M256" s="195"/>
      <c r="N256" s="196"/>
      <c r="O256" s="197"/>
      <c r="P256" s="189"/>
    </row>
    <row r="257" spans="1:16" ht="78.75">
      <c r="A257" s="200"/>
      <c r="B257" s="170"/>
      <c r="C257" s="190"/>
      <c r="D257" s="147"/>
      <c r="E257" s="192"/>
      <c r="F257" s="6" t="s">
        <v>164</v>
      </c>
      <c r="G257" s="35" t="s">
        <v>220</v>
      </c>
      <c r="H257" s="28" t="s">
        <v>158</v>
      </c>
      <c r="I257" s="27" t="s">
        <v>159</v>
      </c>
      <c r="J257" s="45" t="s">
        <v>168</v>
      </c>
      <c r="K257" s="28" t="s">
        <v>160</v>
      </c>
      <c r="L257" s="6" t="s">
        <v>161</v>
      </c>
      <c r="M257" s="25" t="s">
        <v>162</v>
      </c>
      <c r="N257" s="52" t="s">
        <v>170</v>
      </c>
      <c r="O257" s="28" t="s">
        <v>171</v>
      </c>
      <c r="P257" s="190"/>
    </row>
    <row r="258" spans="1:16" ht="12.75">
      <c r="A258" s="10">
        <v>1</v>
      </c>
      <c r="B258" s="10">
        <v>2</v>
      </c>
      <c r="C258" s="10">
        <v>3</v>
      </c>
      <c r="D258" s="31"/>
      <c r="E258" s="36">
        <v>4</v>
      </c>
      <c r="F258" s="10">
        <v>5</v>
      </c>
      <c r="G258" s="37">
        <v>6</v>
      </c>
      <c r="H258" s="26">
        <v>7</v>
      </c>
      <c r="I258" s="25">
        <v>8</v>
      </c>
      <c r="J258" s="46">
        <v>9</v>
      </c>
      <c r="K258" s="26">
        <v>10</v>
      </c>
      <c r="L258" s="10">
        <v>11</v>
      </c>
      <c r="M258" s="25">
        <v>12</v>
      </c>
      <c r="N258" s="46">
        <v>13</v>
      </c>
      <c r="O258" s="26">
        <v>14</v>
      </c>
      <c r="P258" s="10">
        <v>15</v>
      </c>
    </row>
    <row r="259" spans="1:16" ht="12.75">
      <c r="A259" s="10">
        <v>1</v>
      </c>
      <c r="B259" s="5" t="s">
        <v>173</v>
      </c>
      <c r="C259" s="13">
        <v>4595.66</v>
      </c>
      <c r="D259" s="25"/>
      <c r="E259" s="38"/>
      <c r="G259" s="37"/>
      <c r="H259" s="26"/>
      <c r="I259" s="25"/>
      <c r="J259" s="46">
        <f>H259+I259</f>
        <v>0</v>
      </c>
      <c r="K259" s="26"/>
      <c r="L259" s="10"/>
      <c r="M259" s="25"/>
      <c r="N259" s="46"/>
      <c r="O259" s="50">
        <f>N259/C259/3</f>
        <v>0</v>
      </c>
      <c r="P259" s="30">
        <f>D259</f>
        <v>0</v>
      </c>
    </row>
    <row r="260" spans="1:16" ht="12.75">
      <c r="A260" s="10">
        <v>2</v>
      </c>
      <c r="B260" s="5" t="s">
        <v>174</v>
      </c>
      <c r="C260" s="13">
        <v>2974.92</v>
      </c>
      <c r="D260" s="25"/>
      <c r="E260" s="38">
        <f>F260+G260</f>
        <v>140729.22</v>
      </c>
      <c r="F260" s="13">
        <v>140729.22</v>
      </c>
      <c r="G260" s="37"/>
      <c r="H260" s="26">
        <v>21244</v>
      </c>
      <c r="I260" s="25">
        <v>27669</v>
      </c>
      <c r="J260" s="46">
        <f aca="true" t="shared" si="24" ref="J260:J274">H260+I260</f>
        <v>48913</v>
      </c>
      <c r="K260" s="26">
        <v>57951</v>
      </c>
      <c r="L260" s="10">
        <v>4614</v>
      </c>
      <c r="M260" s="33">
        <v>1280</v>
      </c>
      <c r="N260" s="63">
        <f>J260+K260+L260+M260</f>
        <v>112758</v>
      </c>
      <c r="O260" s="50">
        <f>N260/C260/3</f>
        <v>12.634289325427238</v>
      </c>
      <c r="P260" s="30">
        <f>D260+E260-N260</f>
        <v>27971.22</v>
      </c>
    </row>
    <row r="261" spans="1:16" ht="12.75">
      <c r="A261" s="10">
        <v>3</v>
      </c>
      <c r="B261" s="5" t="s">
        <v>175</v>
      </c>
      <c r="C261" s="13">
        <v>7057.96</v>
      </c>
      <c r="D261" s="25"/>
      <c r="E261" s="38">
        <f aca="true" t="shared" si="25" ref="E261:E307">F261+G261</f>
        <v>234326.74</v>
      </c>
      <c r="F261" s="13">
        <v>234326.74</v>
      </c>
      <c r="G261" s="37"/>
      <c r="H261" s="26">
        <v>50330</v>
      </c>
      <c r="I261" s="25">
        <v>56319</v>
      </c>
      <c r="J261" s="46">
        <f t="shared" si="24"/>
        <v>106649</v>
      </c>
      <c r="K261" s="26">
        <v>108562</v>
      </c>
      <c r="L261" s="10">
        <v>10946</v>
      </c>
      <c r="M261" s="33">
        <v>3036</v>
      </c>
      <c r="N261" s="63">
        <f aca="true" t="shared" si="26" ref="N261:N306">J261+K261+L261+M261</f>
        <v>229193</v>
      </c>
      <c r="O261" s="50">
        <f aca="true" t="shared" si="27" ref="O261:O291">N261/C261/3</f>
        <v>10.824326953775122</v>
      </c>
      <c r="P261" s="30">
        <f aca="true" t="shared" si="28" ref="P261:P306">D261+E261-N261</f>
        <v>5133.739999999991</v>
      </c>
    </row>
    <row r="262" spans="1:16" ht="12.75">
      <c r="A262" s="10">
        <v>4</v>
      </c>
      <c r="B262" s="5" t="s">
        <v>176</v>
      </c>
      <c r="C262" s="13">
        <v>1879.75</v>
      </c>
      <c r="D262" s="25"/>
      <c r="E262" s="38">
        <f t="shared" si="25"/>
        <v>50956.95</v>
      </c>
      <c r="F262" s="13">
        <v>50956.95</v>
      </c>
      <c r="G262" s="37"/>
      <c r="H262" s="26">
        <v>13404</v>
      </c>
      <c r="I262" s="25">
        <v>18947</v>
      </c>
      <c r="J262" s="46">
        <f t="shared" si="24"/>
        <v>32351</v>
      </c>
      <c r="K262" s="26">
        <v>16160</v>
      </c>
      <c r="L262" s="10">
        <v>2915</v>
      </c>
      <c r="M262" s="33">
        <v>808</v>
      </c>
      <c r="N262" s="63">
        <f t="shared" si="26"/>
        <v>52234</v>
      </c>
      <c r="O262" s="50">
        <f t="shared" si="27"/>
        <v>9.262579243693754</v>
      </c>
      <c r="P262" s="30">
        <f t="shared" si="28"/>
        <v>-1277.050000000003</v>
      </c>
    </row>
    <row r="263" spans="1:16" ht="12.75">
      <c r="A263" s="10">
        <v>5</v>
      </c>
      <c r="B263" s="5" t="s">
        <v>177</v>
      </c>
      <c r="C263" s="13">
        <v>4438.99</v>
      </c>
      <c r="D263" s="25"/>
      <c r="E263" s="38">
        <f t="shared" si="25"/>
        <v>130447.89</v>
      </c>
      <c r="F263" s="13">
        <v>130447.89</v>
      </c>
      <c r="G263" s="37"/>
      <c r="H263" s="26">
        <v>31654</v>
      </c>
      <c r="I263" s="25">
        <v>35548</v>
      </c>
      <c r="J263" s="46">
        <f t="shared" si="24"/>
        <v>67202</v>
      </c>
      <c r="K263" s="26">
        <v>97579</v>
      </c>
      <c r="L263" s="10">
        <v>6885</v>
      </c>
      <c r="M263" s="33">
        <v>1909</v>
      </c>
      <c r="N263" s="63">
        <f t="shared" si="26"/>
        <v>173575</v>
      </c>
      <c r="O263" s="50">
        <f t="shared" si="27"/>
        <v>13.034121125150842</v>
      </c>
      <c r="P263" s="30">
        <f t="shared" si="28"/>
        <v>-43127.11</v>
      </c>
    </row>
    <row r="264" spans="1:16" ht="12.75">
      <c r="A264" s="10">
        <v>6</v>
      </c>
      <c r="B264" s="5" t="s">
        <v>178</v>
      </c>
      <c r="C264" s="13">
        <v>7001.3</v>
      </c>
      <c r="D264" s="25"/>
      <c r="E264" s="38">
        <f t="shared" si="25"/>
        <v>226188.32</v>
      </c>
      <c r="F264" s="13">
        <v>226188.32</v>
      </c>
      <c r="G264" s="37"/>
      <c r="H264" s="26">
        <v>49926</v>
      </c>
      <c r="I264" s="25">
        <v>62776</v>
      </c>
      <c r="J264" s="46">
        <f t="shared" si="24"/>
        <v>112702</v>
      </c>
      <c r="K264" s="26">
        <v>153520</v>
      </c>
      <c r="L264" s="10">
        <v>10859</v>
      </c>
      <c r="M264" s="33">
        <v>3011</v>
      </c>
      <c r="N264" s="63">
        <f t="shared" si="26"/>
        <v>280092</v>
      </c>
      <c r="O264" s="50">
        <f t="shared" si="27"/>
        <v>13.335237741562281</v>
      </c>
      <c r="P264" s="30">
        <f t="shared" si="28"/>
        <v>-53903.67999999999</v>
      </c>
    </row>
    <row r="265" spans="1:16" ht="12.75">
      <c r="A265" s="10">
        <v>7</v>
      </c>
      <c r="B265" s="5" t="s">
        <v>179</v>
      </c>
      <c r="C265" s="13">
        <v>3606.62</v>
      </c>
      <c r="D265" s="25"/>
      <c r="E265" s="38">
        <f t="shared" si="25"/>
        <v>9873.06</v>
      </c>
      <c r="F265" s="13">
        <v>9873.06</v>
      </c>
      <c r="G265" s="37"/>
      <c r="H265" s="26">
        <v>25719</v>
      </c>
      <c r="I265" s="25">
        <v>31398</v>
      </c>
      <c r="J265" s="46">
        <f t="shared" si="24"/>
        <v>57117</v>
      </c>
      <c r="K265" s="26">
        <v>36154</v>
      </c>
      <c r="L265" s="10">
        <v>5594</v>
      </c>
      <c r="M265" s="33">
        <v>1551</v>
      </c>
      <c r="N265" s="63">
        <f t="shared" si="26"/>
        <v>100416</v>
      </c>
      <c r="O265" s="50">
        <f t="shared" si="27"/>
        <v>9.28071158037165</v>
      </c>
      <c r="P265" s="30">
        <f t="shared" si="28"/>
        <v>-90542.94</v>
      </c>
    </row>
    <row r="266" spans="1:16" ht="12.75">
      <c r="A266" s="10">
        <v>8</v>
      </c>
      <c r="B266" s="5" t="s">
        <v>180</v>
      </c>
      <c r="C266" s="13">
        <v>3594.55</v>
      </c>
      <c r="D266" s="25"/>
      <c r="E266" s="38">
        <f t="shared" si="25"/>
        <v>94684.07</v>
      </c>
      <c r="F266" s="13">
        <v>91724.47</v>
      </c>
      <c r="G266" s="37">
        <v>2959.6</v>
      </c>
      <c r="H266" s="26">
        <v>25633</v>
      </c>
      <c r="I266" s="25">
        <v>31416</v>
      </c>
      <c r="J266" s="46">
        <f t="shared" si="24"/>
        <v>57049</v>
      </c>
      <c r="K266" s="26">
        <v>39763</v>
      </c>
      <c r="L266" s="10">
        <v>5575</v>
      </c>
      <c r="M266" s="33">
        <v>1546</v>
      </c>
      <c r="N266" s="63">
        <f t="shared" si="26"/>
        <v>103933</v>
      </c>
      <c r="O266" s="50">
        <f t="shared" si="27"/>
        <v>9.638016812489278</v>
      </c>
      <c r="P266" s="30">
        <f t="shared" si="28"/>
        <v>-9248.929999999993</v>
      </c>
    </row>
    <row r="267" spans="1:16" ht="12.75">
      <c r="A267" s="10">
        <v>9</v>
      </c>
      <c r="B267" s="5" t="s">
        <v>181</v>
      </c>
      <c r="C267" s="13">
        <v>3239.7</v>
      </c>
      <c r="D267" s="25"/>
      <c r="E267" s="38">
        <f t="shared" si="25"/>
        <v>2478.89</v>
      </c>
      <c r="F267" s="13">
        <v>2478.89</v>
      </c>
      <c r="G267" s="37"/>
      <c r="H267" s="26"/>
      <c r="I267" s="25"/>
      <c r="J267" s="46">
        <f t="shared" si="24"/>
        <v>0</v>
      </c>
      <c r="K267" s="26"/>
      <c r="L267" s="61"/>
      <c r="M267" s="33"/>
      <c r="N267" s="63">
        <f t="shared" si="26"/>
        <v>0</v>
      </c>
      <c r="O267" s="50">
        <f t="shared" si="27"/>
        <v>0</v>
      </c>
      <c r="P267" s="30">
        <f t="shared" si="28"/>
        <v>2478.89</v>
      </c>
    </row>
    <row r="268" spans="1:16" ht="12.75">
      <c r="A268" s="10">
        <v>10</v>
      </c>
      <c r="B268" s="5" t="s">
        <v>182</v>
      </c>
      <c r="C268" s="13">
        <v>3613.83</v>
      </c>
      <c r="D268" s="25"/>
      <c r="E268" s="38">
        <f t="shared" si="25"/>
        <v>140888.59</v>
      </c>
      <c r="F268" s="13">
        <v>140888.59</v>
      </c>
      <c r="G268" s="37"/>
      <c r="H268" s="26">
        <v>25770</v>
      </c>
      <c r="I268" s="25">
        <v>31625</v>
      </c>
      <c r="J268" s="46">
        <f t="shared" si="24"/>
        <v>57395</v>
      </c>
      <c r="K268" s="26">
        <v>233149</v>
      </c>
      <c r="L268" s="10">
        <v>5605</v>
      </c>
      <c r="M268" s="33">
        <v>1554</v>
      </c>
      <c r="N268" s="63">
        <f t="shared" si="26"/>
        <v>297703</v>
      </c>
      <c r="O268" s="50">
        <f t="shared" si="27"/>
        <v>27.459601955081823</v>
      </c>
      <c r="P268" s="30">
        <f t="shared" si="28"/>
        <v>-156814.41</v>
      </c>
    </row>
    <row r="269" spans="1:16" ht="12.75">
      <c r="A269" s="10">
        <v>11</v>
      </c>
      <c r="B269" s="5" t="s">
        <v>183</v>
      </c>
      <c r="C269" s="13">
        <v>3614.21</v>
      </c>
      <c r="D269" s="25"/>
      <c r="E269" s="38">
        <f t="shared" si="25"/>
        <v>68206.13</v>
      </c>
      <c r="F269" s="13">
        <v>68206.13</v>
      </c>
      <c r="G269" s="37"/>
      <c r="H269" s="26">
        <v>25773</v>
      </c>
      <c r="I269" s="25">
        <v>31471</v>
      </c>
      <c r="J269" s="46">
        <f t="shared" si="24"/>
        <v>57244</v>
      </c>
      <c r="K269" s="26">
        <v>123676</v>
      </c>
      <c r="L269" s="10">
        <v>5605</v>
      </c>
      <c r="M269" s="33">
        <v>1554</v>
      </c>
      <c r="N269" s="63">
        <f t="shared" si="26"/>
        <v>188079</v>
      </c>
      <c r="O269" s="50">
        <f t="shared" si="27"/>
        <v>17.346252708060682</v>
      </c>
      <c r="P269" s="30">
        <f t="shared" si="28"/>
        <v>-119872.87</v>
      </c>
    </row>
    <row r="270" spans="1:16" ht="12.75">
      <c r="A270" s="10">
        <v>12</v>
      </c>
      <c r="B270" s="5" t="s">
        <v>184</v>
      </c>
      <c r="C270" s="13">
        <v>3644.1</v>
      </c>
      <c r="D270" s="25"/>
      <c r="E270" s="38">
        <f t="shared" si="25"/>
        <v>70617.39</v>
      </c>
      <c r="F270" s="13">
        <v>70617.39</v>
      </c>
      <c r="G270" s="37"/>
      <c r="H270" s="26">
        <v>25986</v>
      </c>
      <c r="I270" s="25">
        <v>32947</v>
      </c>
      <c r="J270" s="46">
        <f t="shared" si="24"/>
        <v>58933</v>
      </c>
      <c r="K270" s="26">
        <v>90654</v>
      </c>
      <c r="L270" s="10">
        <v>5652</v>
      </c>
      <c r="M270" s="33">
        <v>1567</v>
      </c>
      <c r="N270" s="63">
        <f t="shared" si="26"/>
        <v>156806</v>
      </c>
      <c r="O270" s="50">
        <f t="shared" si="27"/>
        <v>14.343367818299901</v>
      </c>
      <c r="P270" s="30">
        <f t="shared" si="28"/>
        <v>-86188.61</v>
      </c>
    </row>
    <row r="271" spans="1:16" ht="12.75">
      <c r="A271" s="10">
        <v>13</v>
      </c>
      <c r="B271" s="5" t="s">
        <v>185</v>
      </c>
      <c r="C271" s="13">
        <v>3605.33</v>
      </c>
      <c r="D271" s="33"/>
      <c r="E271" s="38">
        <f t="shared" si="25"/>
        <v>97326.45</v>
      </c>
      <c r="F271" s="13">
        <v>97326.45</v>
      </c>
      <c r="G271" s="37"/>
      <c r="H271" s="26">
        <v>25710</v>
      </c>
      <c r="I271" s="25">
        <v>32835</v>
      </c>
      <c r="J271" s="46">
        <f t="shared" si="24"/>
        <v>58545</v>
      </c>
      <c r="K271" s="26">
        <v>56159</v>
      </c>
      <c r="L271" s="10">
        <v>5592</v>
      </c>
      <c r="M271" s="33">
        <v>1551</v>
      </c>
      <c r="N271" s="63">
        <f t="shared" si="26"/>
        <v>121847</v>
      </c>
      <c r="O271" s="50">
        <f t="shared" si="27"/>
        <v>11.265450504299652</v>
      </c>
      <c r="P271" s="30">
        <f t="shared" si="28"/>
        <v>-24520.550000000003</v>
      </c>
    </row>
    <row r="272" spans="1:16" ht="12.75">
      <c r="A272" s="10">
        <v>14</v>
      </c>
      <c r="B272" s="5" t="s">
        <v>186</v>
      </c>
      <c r="C272" s="13">
        <v>1849.2</v>
      </c>
      <c r="D272" s="25"/>
      <c r="E272" s="38">
        <f t="shared" si="25"/>
        <v>34784.59</v>
      </c>
      <c r="F272" s="13">
        <v>34784.59</v>
      </c>
      <c r="G272" s="37"/>
      <c r="H272" s="26">
        <v>13187</v>
      </c>
      <c r="I272" s="25">
        <v>26003</v>
      </c>
      <c r="J272" s="46">
        <f t="shared" si="24"/>
        <v>39190</v>
      </c>
      <c r="K272" s="26">
        <v>17412</v>
      </c>
      <c r="L272" s="10">
        <v>2868</v>
      </c>
      <c r="M272" s="33">
        <v>795</v>
      </c>
      <c r="N272" s="63">
        <f t="shared" si="26"/>
        <v>60265</v>
      </c>
      <c r="O272" s="50">
        <f t="shared" si="27"/>
        <v>10.863256182853846</v>
      </c>
      <c r="P272" s="30">
        <f t="shared" si="28"/>
        <v>-25480.410000000003</v>
      </c>
    </row>
    <row r="273" spans="1:16" ht="12.75">
      <c r="A273" s="10">
        <v>15</v>
      </c>
      <c r="B273" s="5" t="s">
        <v>187</v>
      </c>
      <c r="C273" s="13">
        <v>3604.48</v>
      </c>
      <c r="D273" s="25"/>
      <c r="E273" s="38">
        <f t="shared" si="25"/>
        <v>88810.51</v>
      </c>
      <c r="F273" s="13">
        <v>88810.51</v>
      </c>
      <c r="G273" s="37"/>
      <c r="H273" s="26">
        <v>25703</v>
      </c>
      <c r="I273" s="25">
        <v>31392</v>
      </c>
      <c r="J273" s="46">
        <f t="shared" si="24"/>
        <v>57095</v>
      </c>
      <c r="K273" s="26">
        <v>105521</v>
      </c>
      <c r="L273" s="10">
        <v>6351</v>
      </c>
      <c r="M273" s="33">
        <v>1550</v>
      </c>
      <c r="N273" s="63">
        <f t="shared" si="26"/>
        <v>170517</v>
      </c>
      <c r="O273" s="50">
        <f t="shared" si="27"/>
        <v>15.768987482244318</v>
      </c>
      <c r="P273" s="30">
        <f t="shared" si="28"/>
        <v>-81706.49</v>
      </c>
    </row>
    <row r="274" spans="1:16" ht="12.75">
      <c r="A274" s="10">
        <v>16</v>
      </c>
      <c r="B274" s="5" t="s">
        <v>188</v>
      </c>
      <c r="C274" s="13">
        <v>3618.73</v>
      </c>
      <c r="D274" s="25"/>
      <c r="E274" s="38">
        <f t="shared" si="25"/>
        <v>113203.16</v>
      </c>
      <c r="F274" s="13">
        <v>113203.16</v>
      </c>
      <c r="G274" s="37"/>
      <c r="H274" s="26">
        <v>25805</v>
      </c>
      <c r="I274" s="25">
        <v>32340</v>
      </c>
      <c r="J274" s="46">
        <f t="shared" si="24"/>
        <v>58145</v>
      </c>
      <c r="K274" s="26">
        <v>120627</v>
      </c>
      <c r="L274" s="10">
        <v>5612</v>
      </c>
      <c r="M274" s="33">
        <v>1556</v>
      </c>
      <c r="N274" s="63">
        <f t="shared" si="26"/>
        <v>185940</v>
      </c>
      <c r="O274" s="50">
        <f t="shared" si="27"/>
        <v>17.12755579996297</v>
      </c>
      <c r="P274" s="30">
        <f t="shared" si="28"/>
        <v>-72736.84</v>
      </c>
    </row>
    <row r="275" spans="1:16" ht="12.75">
      <c r="A275" s="10">
        <v>17</v>
      </c>
      <c r="B275" s="5" t="s">
        <v>189</v>
      </c>
      <c r="C275" s="13">
        <v>3887.7</v>
      </c>
      <c r="D275" s="25"/>
      <c r="E275" s="38">
        <f t="shared" si="25"/>
        <v>125396.73</v>
      </c>
      <c r="F275" s="13">
        <v>125396.73</v>
      </c>
      <c r="G275" s="37"/>
      <c r="H275" s="26">
        <v>27723</v>
      </c>
      <c r="I275" s="25">
        <v>31602</v>
      </c>
      <c r="J275" s="46">
        <f>H275+I275</f>
        <v>59325</v>
      </c>
      <c r="K275" s="26">
        <v>153275</v>
      </c>
      <c r="L275" s="10">
        <v>6030</v>
      </c>
      <c r="M275" s="33">
        <v>1672</v>
      </c>
      <c r="N275" s="63">
        <f t="shared" si="26"/>
        <v>220302</v>
      </c>
      <c r="O275" s="50">
        <f t="shared" si="27"/>
        <v>18.88880314839108</v>
      </c>
      <c r="P275" s="30">
        <f t="shared" si="28"/>
        <v>-94905.27</v>
      </c>
    </row>
    <row r="276" spans="1:16" ht="12.75">
      <c r="A276" s="10">
        <v>18</v>
      </c>
      <c r="B276" s="5" t="s">
        <v>190</v>
      </c>
      <c r="C276" s="13">
        <v>3615.45</v>
      </c>
      <c r="D276" s="25"/>
      <c r="E276" s="38">
        <f t="shared" si="25"/>
        <v>98987.29</v>
      </c>
      <c r="F276" s="10">
        <v>98987.29</v>
      </c>
      <c r="G276" s="37"/>
      <c r="H276" s="26">
        <v>25782</v>
      </c>
      <c r="I276" s="25">
        <v>31421</v>
      </c>
      <c r="J276" s="46">
        <f>H276+I276</f>
        <v>57203</v>
      </c>
      <c r="K276" s="26">
        <v>343821</v>
      </c>
      <c r="L276" s="10">
        <v>6777</v>
      </c>
      <c r="M276" s="33">
        <v>1555</v>
      </c>
      <c r="N276" s="63">
        <f t="shared" si="26"/>
        <v>409356</v>
      </c>
      <c r="O276" s="50">
        <f t="shared" si="27"/>
        <v>37.74135999668091</v>
      </c>
      <c r="P276" s="30">
        <f t="shared" si="28"/>
        <v>-310368.71</v>
      </c>
    </row>
    <row r="277" spans="1:16" ht="12.75">
      <c r="A277" s="10">
        <v>19</v>
      </c>
      <c r="B277" s="5" t="s">
        <v>191</v>
      </c>
      <c r="C277" s="13">
        <v>2678.39</v>
      </c>
      <c r="D277" s="25"/>
      <c r="E277" s="38">
        <f t="shared" si="25"/>
        <v>78494.01</v>
      </c>
      <c r="F277" s="13">
        <v>78494.01</v>
      </c>
      <c r="G277" s="37"/>
      <c r="H277" s="26">
        <v>19100</v>
      </c>
      <c r="I277" s="25">
        <v>26282</v>
      </c>
      <c r="J277" s="46">
        <f>H277+I277</f>
        <v>45382</v>
      </c>
      <c r="K277" s="26">
        <v>116573</v>
      </c>
      <c r="L277" s="10">
        <v>4154</v>
      </c>
      <c r="M277" s="33">
        <v>1152</v>
      </c>
      <c r="N277" s="63">
        <f t="shared" si="26"/>
        <v>167261</v>
      </c>
      <c r="O277" s="50">
        <f t="shared" si="27"/>
        <v>20.816112166886327</v>
      </c>
      <c r="P277" s="30">
        <f t="shared" si="28"/>
        <v>-88766.99</v>
      </c>
    </row>
    <row r="278" spans="1:16" ht="12.75">
      <c r="A278" s="10">
        <v>20</v>
      </c>
      <c r="B278" s="5" t="s">
        <v>192</v>
      </c>
      <c r="C278" s="13">
        <v>3614.83</v>
      </c>
      <c r="D278" s="25"/>
      <c r="E278" s="38">
        <f t="shared" si="25"/>
        <v>109194.16</v>
      </c>
      <c r="F278" s="13">
        <v>109194.16</v>
      </c>
      <c r="G278" s="37"/>
      <c r="H278" s="26">
        <v>25777</v>
      </c>
      <c r="I278" s="25">
        <v>32424</v>
      </c>
      <c r="J278" s="46">
        <f aca="true" t="shared" si="29" ref="J278:J291">H278+I278</f>
        <v>58201</v>
      </c>
      <c r="K278" s="26">
        <v>44203</v>
      </c>
      <c r="L278" s="10">
        <v>5606</v>
      </c>
      <c r="M278" s="33">
        <v>1555</v>
      </c>
      <c r="N278" s="63">
        <f t="shared" si="26"/>
        <v>109565</v>
      </c>
      <c r="O278" s="50">
        <f t="shared" si="27"/>
        <v>10.103287475944006</v>
      </c>
      <c r="P278" s="30">
        <f t="shared" si="28"/>
        <v>-370.8399999999965</v>
      </c>
    </row>
    <row r="279" spans="1:16" ht="12.75">
      <c r="A279" s="10">
        <v>21</v>
      </c>
      <c r="B279" s="5" t="s">
        <v>193</v>
      </c>
      <c r="C279" s="13">
        <v>3608.85</v>
      </c>
      <c r="D279" s="25"/>
      <c r="E279" s="38">
        <f t="shared" si="25"/>
        <v>101797.1</v>
      </c>
      <c r="F279" s="13">
        <v>99753.8</v>
      </c>
      <c r="G279" s="37">
        <v>2043.3</v>
      </c>
      <c r="H279" s="26">
        <v>25735</v>
      </c>
      <c r="I279" s="25">
        <v>31840</v>
      </c>
      <c r="J279" s="46">
        <f t="shared" si="29"/>
        <v>57575</v>
      </c>
      <c r="K279" s="26">
        <v>97362</v>
      </c>
      <c r="L279" s="10">
        <v>5597</v>
      </c>
      <c r="M279" s="33">
        <v>1552</v>
      </c>
      <c r="N279" s="63">
        <f t="shared" si="26"/>
        <v>162086</v>
      </c>
      <c r="O279" s="50">
        <f t="shared" si="27"/>
        <v>14.971158864088745</v>
      </c>
      <c r="P279" s="30">
        <f t="shared" si="28"/>
        <v>-60288.899999999994</v>
      </c>
    </row>
    <row r="280" spans="1:16" ht="12.75">
      <c r="A280" s="10">
        <v>22</v>
      </c>
      <c r="B280" s="5" t="s">
        <v>194</v>
      </c>
      <c r="C280" s="13">
        <v>3608.24</v>
      </c>
      <c r="D280" s="25"/>
      <c r="E280" s="38">
        <f t="shared" si="25"/>
        <v>102989.03</v>
      </c>
      <c r="F280" s="13">
        <v>102989.03</v>
      </c>
      <c r="G280" s="37"/>
      <c r="H280" s="26">
        <v>25730</v>
      </c>
      <c r="I280" s="25">
        <v>31048</v>
      </c>
      <c r="J280" s="46">
        <f t="shared" si="29"/>
        <v>56778</v>
      </c>
      <c r="K280" s="26">
        <v>97404</v>
      </c>
      <c r="L280" s="10">
        <v>5595</v>
      </c>
      <c r="M280" s="33">
        <v>1552</v>
      </c>
      <c r="N280" s="63">
        <f t="shared" si="26"/>
        <v>161329</v>
      </c>
      <c r="O280" s="50">
        <f t="shared" si="27"/>
        <v>14.903757325824595</v>
      </c>
      <c r="P280" s="30">
        <f t="shared" si="28"/>
        <v>-58339.97</v>
      </c>
    </row>
    <row r="281" spans="1:16" ht="12.75">
      <c r="A281" s="10">
        <v>23</v>
      </c>
      <c r="B281" s="5" t="s">
        <v>195</v>
      </c>
      <c r="C281" s="13">
        <v>2527.69</v>
      </c>
      <c r="D281" s="25"/>
      <c r="E281" s="38">
        <f t="shared" si="25"/>
        <v>68981.54</v>
      </c>
      <c r="F281" s="13">
        <v>68981.54</v>
      </c>
      <c r="G281" s="37"/>
      <c r="H281" s="26">
        <v>18025</v>
      </c>
      <c r="I281" s="25">
        <v>27812</v>
      </c>
      <c r="J281" s="46">
        <f t="shared" si="29"/>
        <v>45837</v>
      </c>
      <c r="K281" s="26">
        <v>40880</v>
      </c>
      <c r="L281" s="10">
        <v>3920</v>
      </c>
      <c r="M281" s="33">
        <v>1087</v>
      </c>
      <c r="N281" s="63">
        <f t="shared" si="26"/>
        <v>91724</v>
      </c>
      <c r="O281" s="50">
        <f t="shared" si="27"/>
        <v>12.095892560664744</v>
      </c>
      <c r="P281" s="30">
        <f t="shared" si="28"/>
        <v>-22742.460000000006</v>
      </c>
    </row>
    <row r="282" spans="1:16" ht="12.75">
      <c r="A282" s="10">
        <v>24</v>
      </c>
      <c r="B282" s="5" t="s">
        <v>196</v>
      </c>
      <c r="C282" s="13">
        <v>3613.63</v>
      </c>
      <c r="D282" s="25"/>
      <c r="E282" s="38">
        <f t="shared" si="25"/>
        <v>54383.14</v>
      </c>
      <c r="F282" s="13">
        <v>49882.11</v>
      </c>
      <c r="G282" s="37">
        <v>4501.03</v>
      </c>
      <c r="H282" s="26">
        <v>25769</v>
      </c>
      <c r="I282" s="25">
        <v>30950</v>
      </c>
      <c r="J282" s="46">
        <f t="shared" si="29"/>
        <v>56719</v>
      </c>
      <c r="K282" s="26">
        <v>283837</v>
      </c>
      <c r="L282" s="10">
        <v>5605</v>
      </c>
      <c r="M282" s="33">
        <v>1554</v>
      </c>
      <c r="N282" s="63">
        <f t="shared" si="26"/>
        <v>347715</v>
      </c>
      <c r="O282" s="50">
        <f t="shared" si="27"/>
        <v>32.07439610585478</v>
      </c>
      <c r="P282" s="30">
        <f t="shared" si="28"/>
        <v>-293331.86</v>
      </c>
    </row>
    <row r="283" spans="1:16" ht="12.75">
      <c r="A283" s="10">
        <v>25</v>
      </c>
      <c r="B283" s="5" t="s">
        <v>197</v>
      </c>
      <c r="C283" s="13">
        <v>3657.15</v>
      </c>
      <c r="D283" s="25"/>
      <c r="E283" s="38">
        <f t="shared" si="25"/>
        <v>99047.59</v>
      </c>
      <c r="F283" s="13">
        <v>99047.59</v>
      </c>
      <c r="G283" s="37"/>
      <c r="H283" s="26">
        <v>26079</v>
      </c>
      <c r="I283" s="25">
        <v>32454</v>
      </c>
      <c r="J283" s="46">
        <f t="shared" si="29"/>
        <v>58533</v>
      </c>
      <c r="K283" s="26">
        <v>43804</v>
      </c>
      <c r="L283" s="10">
        <v>5672</v>
      </c>
      <c r="M283" s="33">
        <v>1573</v>
      </c>
      <c r="N283" s="63">
        <f t="shared" si="26"/>
        <v>109582</v>
      </c>
      <c r="O283" s="50">
        <f t="shared" si="27"/>
        <v>9.987923200670831</v>
      </c>
      <c r="P283" s="30">
        <f t="shared" si="28"/>
        <v>-10534.410000000003</v>
      </c>
    </row>
    <row r="284" spans="1:16" ht="12.75">
      <c r="A284" s="10">
        <v>26</v>
      </c>
      <c r="B284" s="5" t="s">
        <v>198</v>
      </c>
      <c r="C284" s="13">
        <v>3613.94</v>
      </c>
      <c r="D284" s="25"/>
      <c r="E284" s="38">
        <f t="shared" si="25"/>
        <v>71699.47</v>
      </c>
      <c r="F284" s="13">
        <v>63725.34</v>
      </c>
      <c r="G284" s="37">
        <v>7974.13</v>
      </c>
      <c r="H284" s="26">
        <v>25771</v>
      </c>
      <c r="I284" s="25">
        <v>32528</v>
      </c>
      <c r="J284" s="46">
        <f t="shared" si="29"/>
        <v>58299</v>
      </c>
      <c r="K284" s="26">
        <v>86406</v>
      </c>
      <c r="L284" s="10">
        <v>5605</v>
      </c>
      <c r="M284" s="33">
        <v>1554</v>
      </c>
      <c r="N284" s="63">
        <f t="shared" si="26"/>
        <v>151864</v>
      </c>
      <c r="O284" s="50">
        <f t="shared" si="27"/>
        <v>14.007242326472861</v>
      </c>
      <c r="P284" s="30">
        <f t="shared" si="28"/>
        <v>-80164.53</v>
      </c>
    </row>
    <row r="285" spans="1:16" ht="12.75">
      <c r="A285" s="10">
        <v>27</v>
      </c>
      <c r="B285" s="5" t="s">
        <v>199</v>
      </c>
      <c r="C285" s="13">
        <v>3619.08</v>
      </c>
      <c r="D285" s="25"/>
      <c r="E285" s="38">
        <f t="shared" si="25"/>
        <v>84798.05</v>
      </c>
      <c r="F285" s="13">
        <v>84798.05</v>
      </c>
      <c r="G285" s="37"/>
      <c r="H285" s="26">
        <v>25808</v>
      </c>
      <c r="I285" s="25">
        <v>31483</v>
      </c>
      <c r="J285" s="46">
        <f t="shared" si="29"/>
        <v>57291</v>
      </c>
      <c r="K285" s="26">
        <v>70819</v>
      </c>
      <c r="L285" s="10">
        <v>5613</v>
      </c>
      <c r="M285" s="33">
        <v>1557</v>
      </c>
      <c r="N285" s="63">
        <f t="shared" si="26"/>
        <v>135280</v>
      </c>
      <c r="O285" s="50">
        <f t="shared" si="27"/>
        <v>12.459888516786956</v>
      </c>
      <c r="P285" s="30">
        <f t="shared" si="28"/>
        <v>-50481.95</v>
      </c>
    </row>
    <row r="286" spans="1:16" ht="12.75">
      <c r="A286" s="10">
        <v>28</v>
      </c>
      <c r="B286" s="5" t="s">
        <v>200</v>
      </c>
      <c r="C286" s="13">
        <v>3626.99</v>
      </c>
      <c r="D286" s="25"/>
      <c r="E286" s="38">
        <f t="shared" si="25"/>
        <v>114444.38</v>
      </c>
      <c r="F286" s="13">
        <v>114444.38</v>
      </c>
      <c r="G286" s="37"/>
      <c r="H286" s="26">
        <v>25864</v>
      </c>
      <c r="I286" s="25">
        <v>47506</v>
      </c>
      <c r="J286" s="46">
        <f t="shared" si="29"/>
        <v>73370</v>
      </c>
      <c r="K286" s="26">
        <v>57104</v>
      </c>
      <c r="L286" s="10">
        <v>5625</v>
      </c>
      <c r="M286" s="33">
        <v>1560</v>
      </c>
      <c r="N286" s="63">
        <f t="shared" si="26"/>
        <v>137659</v>
      </c>
      <c r="O286" s="50">
        <f t="shared" si="27"/>
        <v>12.651353693650476</v>
      </c>
      <c r="P286" s="30">
        <f t="shared" si="28"/>
        <v>-23214.619999999995</v>
      </c>
    </row>
    <row r="287" spans="1:16" ht="12.75">
      <c r="A287" s="10">
        <v>29</v>
      </c>
      <c r="B287" s="5" t="s">
        <v>201</v>
      </c>
      <c r="C287" s="13">
        <v>3621.21</v>
      </c>
      <c r="D287" s="25"/>
      <c r="E287" s="38">
        <f t="shared" si="25"/>
        <v>41024.31</v>
      </c>
      <c r="F287" s="13">
        <v>41024.31</v>
      </c>
      <c r="G287" s="37"/>
      <c r="H287" s="26">
        <v>25823</v>
      </c>
      <c r="I287" s="25">
        <v>31488</v>
      </c>
      <c r="J287" s="46">
        <f t="shared" si="29"/>
        <v>57311</v>
      </c>
      <c r="K287" s="26">
        <v>40829</v>
      </c>
      <c r="L287" s="10">
        <v>5616</v>
      </c>
      <c r="M287" s="33">
        <v>1557</v>
      </c>
      <c r="N287" s="63">
        <f t="shared" si="26"/>
        <v>105313</v>
      </c>
      <c r="O287" s="50">
        <f t="shared" si="27"/>
        <v>9.694089360554438</v>
      </c>
      <c r="P287" s="30">
        <f t="shared" si="28"/>
        <v>-64288.69</v>
      </c>
    </row>
    <row r="288" spans="1:16" ht="12.75">
      <c r="A288" s="10">
        <v>30</v>
      </c>
      <c r="B288" s="5" t="s">
        <v>202</v>
      </c>
      <c r="C288" s="13">
        <v>3616.22</v>
      </c>
      <c r="D288" s="25"/>
      <c r="E288" s="38">
        <f t="shared" si="25"/>
        <v>102953.11</v>
      </c>
      <c r="F288" s="13">
        <v>102953.11</v>
      </c>
      <c r="G288" s="37"/>
      <c r="H288" s="26">
        <v>25787</v>
      </c>
      <c r="I288" s="25">
        <v>31473</v>
      </c>
      <c r="J288" s="46">
        <f t="shared" si="29"/>
        <v>57260</v>
      </c>
      <c r="K288" s="26">
        <v>46337</v>
      </c>
      <c r="L288" s="10">
        <v>5609</v>
      </c>
      <c r="M288" s="33">
        <v>1555</v>
      </c>
      <c r="N288" s="63">
        <f t="shared" si="26"/>
        <v>110761</v>
      </c>
      <c r="O288" s="50">
        <f t="shared" si="27"/>
        <v>10.20964801182819</v>
      </c>
      <c r="P288" s="30">
        <f t="shared" si="28"/>
        <v>-7807.889999999999</v>
      </c>
    </row>
    <row r="289" spans="1:16" ht="12.75">
      <c r="A289" s="10">
        <v>31</v>
      </c>
      <c r="B289" s="5" t="s">
        <v>203</v>
      </c>
      <c r="C289" s="13">
        <v>3641.89</v>
      </c>
      <c r="D289" s="25"/>
      <c r="E289" s="38">
        <f t="shared" si="25"/>
        <v>110847.4</v>
      </c>
      <c r="F289" s="13">
        <v>110847.4</v>
      </c>
      <c r="G289" s="37"/>
      <c r="H289" s="26">
        <v>25970</v>
      </c>
      <c r="I289" s="25">
        <v>32333</v>
      </c>
      <c r="J289" s="46">
        <f t="shared" si="29"/>
        <v>58303</v>
      </c>
      <c r="K289" s="26">
        <v>91706</v>
      </c>
      <c r="L289" s="10">
        <v>5648</v>
      </c>
      <c r="M289" s="33">
        <v>1566</v>
      </c>
      <c r="N289" s="63">
        <f t="shared" si="26"/>
        <v>157223</v>
      </c>
      <c r="O289" s="50">
        <f t="shared" si="27"/>
        <v>14.390238767965718</v>
      </c>
      <c r="P289" s="30">
        <f t="shared" si="28"/>
        <v>-46375.600000000006</v>
      </c>
    </row>
    <row r="290" spans="1:16" ht="12.75">
      <c r="A290" s="10">
        <v>32</v>
      </c>
      <c r="B290" s="5" t="s">
        <v>204</v>
      </c>
      <c r="C290" s="13">
        <v>3803.6</v>
      </c>
      <c r="D290" s="25"/>
      <c r="E290" s="38">
        <f t="shared" si="25"/>
        <v>93090.78</v>
      </c>
      <c r="F290" s="13">
        <v>93090.78</v>
      </c>
      <c r="G290" s="37"/>
      <c r="H290" s="26">
        <v>27123</v>
      </c>
      <c r="I290" s="25">
        <v>31932</v>
      </c>
      <c r="J290" s="46">
        <f t="shared" si="29"/>
        <v>59055</v>
      </c>
      <c r="K290" s="26">
        <v>27801</v>
      </c>
      <c r="L290" s="10">
        <v>5899</v>
      </c>
      <c r="M290" s="33">
        <v>1636</v>
      </c>
      <c r="N290" s="63">
        <f t="shared" si="26"/>
        <v>94391</v>
      </c>
      <c r="O290" s="50">
        <f t="shared" si="27"/>
        <v>8.272075577523049</v>
      </c>
      <c r="P290" s="30">
        <f t="shared" si="28"/>
        <v>-1300.2200000000012</v>
      </c>
    </row>
    <row r="291" spans="1:16" ht="12.75">
      <c r="A291" s="10">
        <v>33</v>
      </c>
      <c r="B291" s="5" t="s">
        <v>205</v>
      </c>
      <c r="C291" s="13">
        <v>3765.82</v>
      </c>
      <c r="D291" s="25"/>
      <c r="E291" s="38">
        <f t="shared" si="25"/>
        <v>104862.23</v>
      </c>
      <c r="F291" s="13">
        <v>103721.75</v>
      </c>
      <c r="G291" s="37">
        <v>1140.48</v>
      </c>
      <c r="H291" s="26">
        <v>26584</v>
      </c>
      <c r="I291" s="25">
        <v>30158</v>
      </c>
      <c r="J291" s="46">
        <f t="shared" si="29"/>
        <v>56742</v>
      </c>
      <c r="K291" s="26">
        <v>43730</v>
      </c>
      <c r="L291" s="10">
        <v>5841</v>
      </c>
      <c r="M291" s="33">
        <v>1620</v>
      </c>
      <c r="N291" s="63">
        <f t="shared" si="26"/>
        <v>107933</v>
      </c>
      <c r="O291" s="50">
        <f t="shared" si="27"/>
        <v>9.553740398284216</v>
      </c>
      <c r="P291" s="30">
        <f t="shared" si="28"/>
        <v>-3070.770000000004</v>
      </c>
    </row>
    <row r="292" spans="1:16" ht="12.75">
      <c r="A292" s="10"/>
      <c r="B292" s="22"/>
      <c r="C292" s="22"/>
      <c r="D292" s="25"/>
      <c r="E292" s="38">
        <f t="shared" si="25"/>
        <v>0</v>
      </c>
      <c r="F292" s="22"/>
      <c r="G292" s="40"/>
      <c r="H292" s="34"/>
      <c r="I292" s="44"/>
      <c r="J292" s="47"/>
      <c r="K292" s="34"/>
      <c r="L292" s="22"/>
      <c r="M292" s="33"/>
      <c r="N292" s="63">
        <f t="shared" si="26"/>
        <v>0</v>
      </c>
      <c r="O292" s="50"/>
      <c r="P292" s="30">
        <f t="shared" si="28"/>
        <v>0</v>
      </c>
    </row>
    <row r="293" spans="1:16" ht="12.75">
      <c r="A293" s="10">
        <v>34</v>
      </c>
      <c r="B293" s="5" t="s">
        <v>206</v>
      </c>
      <c r="C293" s="13">
        <v>3805.6</v>
      </c>
      <c r="D293" s="25"/>
      <c r="E293" s="38">
        <f t="shared" si="25"/>
        <v>133701.44</v>
      </c>
      <c r="F293" s="13">
        <v>133701.44</v>
      </c>
      <c r="G293" s="37"/>
      <c r="H293" s="26">
        <v>27138</v>
      </c>
      <c r="I293" s="25">
        <v>31939</v>
      </c>
      <c r="J293" s="46">
        <f aca="true" t="shared" si="30" ref="J293:J306">H293+I293</f>
        <v>59077</v>
      </c>
      <c r="K293" s="26">
        <v>70408</v>
      </c>
      <c r="L293" s="10">
        <v>5902</v>
      </c>
      <c r="M293" s="33">
        <v>1637</v>
      </c>
      <c r="N293" s="63">
        <f t="shared" si="26"/>
        <v>137024</v>
      </c>
      <c r="O293" s="50">
        <f aca="true" t="shared" si="31" ref="O293:O306">N293/C293/3</f>
        <v>12.001962020881509</v>
      </c>
      <c r="P293" s="30">
        <f t="shared" si="28"/>
        <v>-3322.5599999999977</v>
      </c>
    </row>
    <row r="294" spans="1:16" ht="12.75">
      <c r="A294" s="10">
        <v>35</v>
      </c>
      <c r="B294" s="5" t="s">
        <v>207</v>
      </c>
      <c r="C294" s="13">
        <v>3812.15</v>
      </c>
      <c r="D294" s="25"/>
      <c r="E294" s="38">
        <f t="shared" si="25"/>
        <v>108329.31</v>
      </c>
      <c r="F294" s="13">
        <v>108329.31</v>
      </c>
      <c r="G294" s="37"/>
      <c r="H294" s="26">
        <v>27184</v>
      </c>
      <c r="I294" s="25">
        <v>32375</v>
      </c>
      <c r="J294" s="46">
        <f t="shared" si="30"/>
        <v>59559</v>
      </c>
      <c r="K294" s="26">
        <v>58421</v>
      </c>
      <c r="L294" s="10">
        <v>5912</v>
      </c>
      <c r="M294" s="33">
        <v>1640</v>
      </c>
      <c r="N294" s="63">
        <f t="shared" si="26"/>
        <v>125532</v>
      </c>
      <c r="O294" s="50">
        <f t="shared" si="31"/>
        <v>10.976483086971918</v>
      </c>
      <c r="P294" s="30">
        <f t="shared" si="28"/>
        <v>-17202.690000000002</v>
      </c>
    </row>
    <row r="295" spans="1:16" ht="12.75">
      <c r="A295" s="10">
        <v>36</v>
      </c>
      <c r="B295" s="5" t="s">
        <v>208</v>
      </c>
      <c r="C295" s="13">
        <v>3801.02</v>
      </c>
      <c r="D295" s="25"/>
      <c r="E295" s="38">
        <f t="shared" si="25"/>
        <v>102963.8</v>
      </c>
      <c r="F295" s="13">
        <v>102963.8</v>
      </c>
      <c r="G295" s="37"/>
      <c r="H295" s="26">
        <v>27105</v>
      </c>
      <c r="I295" s="25">
        <v>30038</v>
      </c>
      <c r="J295" s="46">
        <f t="shared" si="30"/>
        <v>57143</v>
      </c>
      <c r="K295" s="26">
        <v>52958</v>
      </c>
      <c r="L295" s="10">
        <v>5895</v>
      </c>
      <c r="M295" s="33">
        <v>1635</v>
      </c>
      <c r="N295" s="63">
        <f t="shared" si="26"/>
        <v>117631</v>
      </c>
      <c r="O295" s="50">
        <f t="shared" si="31"/>
        <v>10.3157398101913</v>
      </c>
      <c r="P295" s="30">
        <f t="shared" si="28"/>
        <v>-14667.199999999997</v>
      </c>
    </row>
    <row r="296" spans="1:16" ht="12.75">
      <c r="A296" s="10">
        <v>37</v>
      </c>
      <c r="B296" s="5" t="s">
        <v>209</v>
      </c>
      <c r="C296" s="13">
        <v>3786.32</v>
      </c>
      <c r="D296" s="25"/>
      <c r="E296" s="38">
        <f t="shared" si="25"/>
        <v>79705.65</v>
      </c>
      <c r="F296" s="13">
        <v>79705.65</v>
      </c>
      <c r="G296" s="37"/>
      <c r="H296" s="26">
        <v>27227</v>
      </c>
      <c r="I296" s="25">
        <v>31885</v>
      </c>
      <c r="J296" s="46">
        <f t="shared" si="30"/>
        <v>59112</v>
      </c>
      <c r="K296" s="26">
        <v>26163</v>
      </c>
      <c r="L296" s="10">
        <v>5872</v>
      </c>
      <c r="M296" s="33">
        <v>1628</v>
      </c>
      <c r="N296" s="63">
        <f t="shared" si="26"/>
        <v>92775</v>
      </c>
      <c r="O296" s="50">
        <f t="shared" si="31"/>
        <v>8.167561114749942</v>
      </c>
      <c r="P296" s="30">
        <f t="shared" si="28"/>
        <v>-13069.350000000006</v>
      </c>
    </row>
    <row r="297" spans="1:16" ht="12.75">
      <c r="A297" s="10">
        <v>38</v>
      </c>
      <c r="B297" s="5" t="s">
        <v>210</v>
      </c>
      <c r="C297" s="13">
        <v>3739.54</v>
      </c>
      <c r="D297" s="25"/>
      <c r="E297" s="38">
        <f t="shared" si="25"/>
        <v>104700.77</v>
      </c>
      <c r="F297" s="13">
        <v>104700.77</v>
      </c>
      <c r="G297" s="37"/>
      <c r="H297" s="26">
        <v>26667</v>
      </c>
      <c r="I297" s="25">
        <v>31967</v>
      </c>
      <c r="J297" s="46">
        <f t="shared" si="30"/>
        <v>58634</v>
      </c>
      <c r="K297" s="26">
        <v>92835</v>
      </c>
      <c r="L297" s="10">
        <v>6920</v>
      </c>
      <c r="M297" s="33">
        <v>1608</v>
      </c>
      <c r="N297" s="63">
        <f t="shared" si="26"/>
        <v>159997</v>
      </c>
      <c r="O297" s="50">
        <f t="shared" si="31"/>
        <v>14.261736291986002</v>
      </c>
      <c r="P297" s="30">
        <f t="shared" si="28"/>
        <v>-55296.229999999996</v>
      </c>
    </row>
    <row r="298" spans="1:16" ht="12.75">
      <c r="A298" s="10">
        <v>39</v>
      </c>
      <c r="B298" s="5" t="s">
        <v>211</v>
      </c>
      <c r="C298" s="13">
        <v>3624.69</v>
      </c>
      <c r="D298" s="25"/>
      <c r="E298" s="38">
        <f t="shared" si="25"/>
        <v>107049.29</v>
      </c>
      <c r="F298" s="13">
        <v>107049.29</v>
      </c>
      <c r="G298" s="37"/>
      <c r="H298" s="26">
        <v>25848</v>
      </c>
      <c r="I298" s="25">
        <v>32900</v>
      </c>
      <c r="J298" s="46">
        <f t="shared" si="30"/>
        <v>58748</v>
      </c>
      <c r="K298" s="26">
        <v>38056</v>
      </c>
      <c r="L298" s="10">
        <v>5832</v>
      </c>
      <c r="M298" s="33">
        <v>1559</v>
      </c>
      <c r="N298" s="63">
        <f t="shared" si="26"/>
        <v>104195</v>
      </c>
      <c r="O298" s="50">
        <f t="shared" si="31"/>
        <v>9.581968848830291</v>
      </c>
      <c r="P298" s="30">
        <f t="shared" si="28"/>
        <v>2854.2899999999936</v>
      </c>
    </row>
    <row r="299" spans="1:16" ht="12.75">
      <c r="A299" s="10">
        <v>40</v>
      </c>
      <c r="B299" s="5" t="s">
        <v>212</v>
      </c>
      <c r="C299" s="13">
        <v>2517.57</v>
      </c>
      <c r="D299" s="25"/>
      <c r="E299" s="38">
        <f t="shared" si="25"/>
        <v>72909.94</v>
      </c>
      <c r="F299" s="13">
        <v>72909.94</v>
      </c>
      <c r="G299" s="37"/>
      <c r="H299" s="26">
        <v>17953</v>
      </c>
      <c r="I299" s="25">
        <v>21310</v>
      </c>
      <c r="J299" s="46">
        <f t="shared" si="30"/>
        <v>39263</v>
      </c>
      <c r="K299" s="26">
        <v>32286</v>
      </c>
      <c r="L299" s="10">
        <v>3905</v>
      </c>
      <c r="M299" s="33">
        <v>1083</v>
      </c>
      <c r="N299" s="63">
        <f t="shared" si="26"/>
        <v>76537</v>
      </c>
      <c r="O299" s="50">
        <f t="shared" si="31"/>
        <v>10.133713594193342</v>
      </c>
      <c r="P299" s="30">
        <f t="shared" si="28"/>
        <v>-3627.0599999999977</v>
      </c>
    </row>
    <row r="300" spans="1:16" ht="12.75">
      <c r="A300" s="10">
        <v>41</v>
      </c>
      <c r="B300" s="5" t="s">
        <v>213</v>
      </c>
      <c r="C300" s="13">
        <v>3604.55</v>
      </c>
      <c r="D300" s="25"/>
      <c r="E300" s="38">
        <f t="shared" si="25"/>
        <v>0</v>
      </c>
      <c r="F300" s="13"/>
      <c r="G300" s="37"/>
      <c r="H300" s="26"/>
      <c r="I300" s="25"/>
      <c r="J300" s="46">
        <f t="shared" si="30"/>
        <v>0</v>
      </c>
      <c r="K300" s="26"/>
      <c r="L300" s="10"/>
      <c r="M300" s="33"/>
      <c r="N300" s="63">
        <f t="shared" si="26"/>
        <v>0</v>
      </c>
      <c r="O300" s="50">
        <f t="shared" si="31"/>
        <v>0</v>
      </c>
      <c r="P300" s="30">
        <f t="shared" si="28"/>
        <v>0</v>
      </c>
    </row>
    <row r="301" spans="1:16" ht="12.75">
      <c r="A301" s="10">
        <v>42</v>
      </c>
      <c r="B301" s="5" t="s">
        <v>214</v>
      </c>
      <c r="C301" s="13">
        <v>690.44</v>
      </c>
      <c r="D301" s="25"/>
      <c r="E301" s="38">
        <f t="shared" si="25"/>
        <v>0</v>
      </c>
      <c r="F301" s="13"/>
      <c r="G301" s="37"/>
      <c r="H301" s="26"/>
      <c r="I301" s="25"/>
      <c r="J301" s="46">
        <f t="shared" si="30"/>
        <v>0</v>
      </c>
      <c r="K301" s="26"/>
      <c r="L301" s="10"/>
      <c r="M301" s="33"/>
      <c r="N301" s="63">
        <f t="shared" si="26"/>
        <v>0</v>
      </c>
      <c r="O301" s="50">
        <f t="shared" si="31"/>
        <v>0</v>
      </c>
      <c r="P301" s="30">
        <f t="shared" si="28"/>
        <v>0</v>
      </c>
    </row>
    <row r="302" spans="1:16" ht="12.75">
      <c r="A302" s="10">
        <v>43</v>
      </c>
      <c r="B302" s="5" t="s">
        <v>215</v>
      </c>
      <c r="C302" s="13">
        <v>654.84</v>
      </c>
      <c r="D302" s="25"/>
      <c r="E302" s="38">
        <f t="shared" si="25"/>
        <v>12532.11</v>
      </c>
      <c r="F302" s="13">
        <v>12532.11</v>
      </c>
      <c r="G302" s="37"/>
      <c r="H302" s="26">
        <v>4670</v>
      </c>
      <c r="I302" s="25">
        <v>1779</v>
      </c>
      <c r="J302" s="46">
        <f t="shared" si="30"/>
        <v>6449</v>
      </c>
      <c r="K302" s="26">
        <v>4325</v>
      </c>
      <c r="L302" s="10">
        <v>1016</v>
      </c>
      <c r="M302" s="33">
        <v>282</v>
      </c>
      <c r="N302" s="63">
        <f t="shared" si="26"/>
        <v>12072</v>
      </c>
      <c r="O302" s="50">
        <f t="shared" si="31"/>
        <v>6.145012522142814</v>
      </c>
      <c r="P302" s="30">
        <f t="shared" si="28"/>
        <v>460.1100000000006</v>
      </c>
    </row>
    <row r="303" spans="1:16" ht="12.75">
      <c r="A303" s="10">
        <v>44</v>
      </c>
      <c r="B303" s="5" t="s">
        <v>216</v>
      </c>
      <c r="C303" s="13">
        <v>1806.12</v>
      </c>
      <c r="D303" s="25"/>
      <c r="E303" s="38">
        <f t="shared" si="25"/>
        <v>60304.39</v>
      </c>
      <c r="F303" s="13">
        <v>60304.39</v>
      </c>
      <c r="G303" s="37"/>
      <c r="H303" s="26">
        <v>12879</v>
      </c>
      <c r="I303" s="25">
        <v>21168</v>
      </c>
      <c r="J303" s="46">
        <f t="shared" si="30"/>
        <v>34047</v>
      </c>
      <c r="K303" s="26">
        <v>15698</v>
      </c>
      <c r="L303" s="10">
        <v>2801</v>
      </c>
      <c r="M303" s="33">
        <v>777</v>
      </c>
      <c r="N303" s="63">
        <f t="shared" si="26"/>
        <v>53323</v>
      </c>
      <c r="O303" s="50">
        <f t="shared" si="31"/>
        <v>9.841169652810075</v>
      </c>
      <c r="P303" s="30">
        <f t="shared" si="28"/>
        <v>6981.389999999999</v>
      </c>
    </row>
    <row r="304" spans="1:16" ht="12.75">
      <c r="A304" s="10">
        <v>45</v>
      </c>
      <c r="B304" s="5" t="s">
        <v>217</v>
      </c>
      <c r="C304" s="13">
        <v>1493.57</v>
      </c>
      <c r="D304" s="25"/>
      <c r="E304" s="38">
        <f t="shared" si="25"/>
        <v>1610.28</v>
      </c>
      <c r="F304" s="13">
        <v>1610.28</v>
      </c>
      <c r="G304" s="37"/>
      <c r="H304" s="26"/>
      <c r="I304" s="25"/>
      <c r="J304" s="46">
        <f t="shared" si="30"/>
        <v>0</v>
      </c>
      <c r="K304" s="26"/>
      <c r="L304" s="10"/>
      <c r="M304" s="33"/>
      <c r="N304" s="63">
        <f t="shared" si="26"/>
        <v>0</v>
      </c>
      <c r="O304" s="50">
        <f t="shared" si="31"/>
        <v>0</v>
      </c>
      <c r="P304" s="30">
        <f t="shared" si="28"/>
        <v>1610.28</v>
      </c>
    </row>
    <row r="305" spans="1:16" ht="12.75">
      <c r="A305" s="10">
        <v>46</v>
      </c>
      <c r="B305" s="5" t="s">
        <v>449</v>
      </c>
      <c r="C305" s="10">
        <v>1999.99</v>
      </c>
      <c r="D305" s="25"/>
      <c r="E305" s="38">
        <f t="shared" si="25"/>
        <v>53273.79</v>
      </c>
      <c r="F305" s="13">
        <v>53273.79</v>
      </c>
      <c r="G305" s="37"/>
      <c r="H305" s="26">
        <v>14262</v>
      </c>
      <c r="I305" s="25">
        <v>73056</v>
      </c>
      <c r="J305" s="46">
        <f t="shared" si="30"/>
        <v>87318</v>
      </c>
      <c r="K305" s="26">
        <v>13208</v>
      </c>
      <c r="L305" s="10">
        <v>3102</v>
      </c>
      <c r="M305" s="33">
        <v>860</v>
      </c>
      <c r="N305" s="63">
        <f t="shared" si="26"/>
        <v>104488</v>
      </c>
      <c r="O305" s="50">
        <f t="shared" si="31"/>
        <v>17.41475374043537</v>
      </c>
      <c r="P305" s="30">
        <f t="shared" si="28"/>
        <v>-51214.21</v>
      </c>
    </row>
    <row r="306" spans="1:16" ht="13.5" thickBot="1">
      <c r="A306" s="23">
        <v>47</v>
      </c>
      <c r="B306" s="65" t="s">
        <v>314</v>
      </c>
      <c r="C306" s="23">
        <v>1443.12</v>
      </c>
      <c r="D306" s="66"/>
      <c r="E306" s="67">
        <f t="shared" si="25"/>
        <v>3054.46</v>
      </c>
      <c r="F306" s="68">
        <v>3054.46</v>
      </c>
      <c r="G306" s="69"/>
      <c r="H306" s="70"/>
      <c r="I306" s="66"/>
      <c r="J306" s="71">
        <f t="shared" si="30"/>
        <v>0</v>
      </c>
      <c r="K306" s="72"/>
      <c r="L306" s="23"/>
      <c r="M306" s="73"/>
      <c r="N306" s="74">
        <f t="shared" si="26"/>
        <v>0</v>
      </c>
      <c r="O306" s="75">
        <f t="shared" si="31"/>
        <v>0</v>
      </c>
      <c r="P306" s="76">
        <f t="shared" si="28"/>
        <v>3054.46</v>
      </c>
    </row>
    <row r="307" spans="1:16" ht="13.5" thickBot="1">
      <c r="A307" s="77"/>
      <c r="B307" s="78" t="s">
        <v>243</v>
      </c>
      <c r="C307" s="79">
        <f>SUM(C259:C306)</f>
        <v>158839.53000000003</v>
      </c>
      <c r="D307" s="80">
        <f>SUM(D259:D306)</f>
        <v>0</v>
      </c>
      <c r="E307" s="81">
        <f t="shared" si="25"/>
        <v>3906647.509999998</v>
      </c>
      <c r="F307" s="82">
        <f>SUM(F260:F306)</f>
        <v>3888028.969999998</v>
      </c>
      <c r="G307" s="83">
        <f>SUM(G259:G306)</f>
        <v>18618.54</v>
      </c>
      <c r="H307" s="84">
        <f aca="true" t="shared" si="32" ref="H307:M307">SUM(H260:H306)</f>
        <v>1025227</v>
      </c>
      <c r="I307" s="85">
        <f t="shared" si="32"/>
        <v>1335837</v>
      </c>
      <c r="J307" s="86">
        <f t="shared" si="32"/>
        <v>2361064</v>
      </c>
      <c r="K307" s="84">
        <f t="shared" si="32"/>
        <v>3347136</v>
      </c>
      <c r="L307" s="87">
        <f t="shared" si="32"/>
        <v>226242</v>
      </c>
      <c r="M307" s="85">
        <f t="shared" si="32"/>
        <v>61834</v>
      </c>
      <c r="N307" s="86">
        <f>J307+K307+L307+M307</f>
        <v>5996276</v>
      </c>
      <c r="O307" s="88">
        <f>N307/3/C307</f>
        <v>12.583509071492886</v>
      </c>
      <c r="P307" s="89">
        <f>SUM(P259:P306)</f>
        <v>-2089628.4899999998</v>
      </c>
    </row>
    <row r="308" spans="1:16" ht="13.5" thickBot="1">
      <c r="A308" s="29"/>
      <c r="B308" s="29"/>
      <c r="C308" s="29"/>
      <c r="D308" s="29"/>
      <c r="E308" s="29"/>
      <c r="F308" s="29"/>
      <c r="G308" s="29"/>
      <c r="H308" s="59"/>
      <c r="I308" s="29"/>
      <c r="J308" s="29"/>
      <c r="K308" s="29"/>
      <c r="L308" s="29"/>
      <c r="M308" s="29"/>
      <c r="N308" s="29">
        <v>5915773</v>
      </c>
      <c r="O308" s="29"/>
      <c r="P308" s="29"/>
    </row>
    <row r="309" spans="1:16" ht="13.5" thickBot="1">
      <c r="A309" s="29"/>
      <c r="B309" s="29"/>
      <c r="C309" s="29"/>
      <c r="D309" s="29"/>
      <c r="E309" s="29"/>
      <c r="F309" s="29"/>
      <c r="G309" s="29"/>
      <c r="H309" s="59"/>
      <c r="I309" s="29"/>
      <c r="J309" s="29"/>
      <c r="K309" s="29"/>
      <c r="L309" s="29"/>
      <c r="M309" s="29"/>
      <c r="N309" s="64">
        <v>18669</v>
      </c>
      <c r="O309" s="29"/>
      <c r="P309" s="29"/>
    </row>
    <row r="310" spans="1:16" ht="12.75">
      <c r="A310" s="29"/>
      <c r="B310" s="29" t="s">
        <v>244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 t="s">
        <v>245</v>
      </c>
      <c r="M310" s="29"/>
      <c r="N310" s="29"/>
      <c r="O310" s="29"/>
      <c r="P310" s="29"/>
    </row>
    <row r="311" spans="1:16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2.75">
      <c r="A312" s="29"/>
      <c r="B312" s="29" t="s">
        <v>246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 t="s">
        <v>247</v>
      </c>
      <c r="M312" s="29"/>
      <c r="N312" s="29"/>
      <c r="O312" s="29"/>
      <c r="P312" s="29"/>
    </row>
    <row r="313" spans="2:6" ht="12.75">
      <c r="B313" t="s">
        <v>564</v>
      </c>
      <c r="F313">
        <v>3347636.14</v>
      </c>
    </row>
    <row r="315" ht="12.75">
      <c r="F315" s="116">
        <f>F307-F313</f>
        <v>540392.8299999977</v>
      </c>
    </row>
    <row r="319" ht="12.75">
      <c r="F319" s="117">
        <f>F55+F139+F223+F307</f>
        <v>16816193.789999995</v>
      </c>
    </row>
    <row r="321" ht="12.75">
      <c r="F321" s="29">
        <f>F62+F146+F231+F313</f>
        <v>16280390.260000002</v>
      </c>
    </row>
    <row r="323" ht="12.75">
      <c r="F323" s="116">
        <f>F319-F321</f>
        <v>535803.5299999937</v>
      </c>
    </row>
    <row r="336" ht="1.5" customHeight="1"/>
    <row r="337" spans="1:16" ht="12.75">
      <c r="A337" s="29"/>
      <c r="B337" s="29"/>
      <c r="C337" s="29"/>
      <c r="D337" s="62" t="s">
        <v>222</v>
      </c>
      <c r="E337" s="62"/>
      <c r="F337" s="62"/>
      <c r="G337" s="62"/>
      <c r="H337" s="62"/>
      <c r="I337" s="62"/>
      <c r="J337" s="62"/>
      <c r="K337" s="62"/>
      <c r="L337" s="29"/>
      <c r="M337" s="29"/>
      <c r="N337" s="29"/>
      <c r="O337" s="29"/>
      <c r="P337" s="29"/>
    </row>
    <row r="338" spans="1:16" ht="13.5" thickBot="1">
      <c r="A338" s="29"/>
      <c r="B338" s="29"/>
      <c r="C338" s="29"/>
      <c r="D338" s="62"/>
      <c r="E338" s="62"/>
      <c r="F338" s="62"/>
      <c r="G338" s="62"/>
      <c r="H338" s="62"/>
      <c r="I338" s="62"/>
      <c r="J338" s="62" t="s">
        <v>526</v>
      </c>
      <c r="K338" s="62"/>
      <c r="L338" s="29"/>
      <c r="M338" s="29"/>
      <c r="N338" s="29"/>
      <c r="O338" s="29"/>
      <c r="P338" s="29"/>
    </row>
    <row r="339" spans="1:16" ht="30" customHeight="1">
      <c r="A339" s="198" t="s">
        <v>0</v>
      </c>
      <c r="B339" s="201" t="s">
        <v>167</v>
      </c>
      <c r="C339" s="188" t="s">
        <v>165</v>
      </c>
      <c r="D339" s="145"/>
      <c r="E339" s="183" t="s">
        <v>566</v>
      </c>
      <c r="F339" s="184"/>
      <c r="G339" s="185"/>
      <c r="H339" s="186" t="s">
        <v>221</v>
      </c>
      <c r="I339" s="186"/>
      <c r="J339" s="186"/>
      <c r="K339" s="186"/>
      <c r="L339" s="186"/>
      <c r="M339" s="186"/>
      <c r="N339" s="186"/>
      <c r="O339" s="187"/>
      <c r="P339" s="188" t="s">
        <v>172</v>
      </c>
    </row>
    <row r="340" spans="1:16" ht="13.5" thickBot="1">
      <c r="A340" s="199"/>
      <c r="B340" s="202"/>
      <c r="C340" s="189"/>
      <c r="D340" s="146"/>
      <c r="E340" s="191" t="s">
        <v>169</v>
      </c>
      <c r="F340" s="193" t="s">
        <v>163</v>
      </c>
      <c r="G340" s="194"/>
      <c r="H340" s="195" t="s">
        <v>166</v>
      </c>
      <c r="I340" s="195"/>
      <c r="J340" s="196"/>
      <c r="K340" s="195"/>
      <c r="L340" s="195"/>
      <c r="M340" s="195"/>
      <c r="N340" s="196"/>
      <c r="O340" s="197"/>
      <c r="P340" s="189"/>
    </row>
    <row r="341" spans="1:16" ht="78.75">
      <c r="A341" s="200"/>
      <c r="B341" s="170"/>
      <c r="C341" s="190"/>
      <c r="D341" s="147"/>
      <c r="E341" s="192"/>
      <c r="F341" s="6" t="s">
        <v>164</v>
      </c>
      <c r="G341" s="35" t="s">
        <v>220</v>
      </c>
      <c r="H341" s="28" t="s">
        <v>158</v>
      </c>
      <c r="I341" s="27" t="s">
        <v>159</v>
      </c>
      <c r="J341" s="45" t="s">
        <v>168</v>
      </c>
      <c r="K341" s="28" t="s">
        <v>160</v>
      </c>
      <c r="L341" s="6" t="s">
        <v>161</v>
      </c>
      <c r="M341" s="25" t="s">
        <v>162</v>
      </c>
      <c r="N341" s="52" t="s">
        <v>170</v>
      </c>
      <c r="O341" s="28" t="s">
        <v>171</v>
      </c>
      <c r="P341" s="190"/>
    </row>
    <row r="342" spans="1:16" ht="12.75">
      <c r="A342" s="10">
        <v>1</v>
      </c>
      <c r="B342" s="10">
        <v>2</v>
      </c>
      <c r="C342" s="10">
        <v>3</v>
      </c>
      <c r="D342" s="31"/>
      <c r="E342" s="36">
        <v>4</v>
      </c>
      <c r="F342" s="10">
        <v>5</v>
      </c>
      <c r="G342" s="37">
        <v>6</v>
      </c>
      <c r="H342" s="26">
        <v>7</v>
      </c>
      <c r="I342" s="25">
        <v>8</v>
      </c>
      <c r="J342" s="46">
        <v>9</v>
      </c>
      <c r="K342" s="26">
        <v>10</v>
      </c>
      <c r="L342" s="10">
        <v>11</v>
      </c>
      <c r="M342" s="25">
        <v>12</v>
      </c>
      <c r="N342" s="46">
        <v>13</v>
      </c>
      <c r="O342" s="26">
        <v>14</v>
      </c>
      <c r="P342" s="10">
        <v>15</v>
      </c>
    </row>
    <row r="343" spans="1:16" ht="12.75">
      <c r="A343" s="10">
        <v>1</v>
      </c>
      <c r="B343" s="5" t="s">
        <v>173</v>
      </c>
      <c r="C343" s="13">
        <v>4595.66</v>
      </c>
      <c r="D343" s="25"/>
      <c r="E343" s="38">
        <f>F343+G343</f>
        <v>72872.81</v>
      </c>
      <c r="F343" s="59">
        <v>72872.81</v>
      </c>
      <c r="G343" s="37"/>
      <c r="H343" s="26">
        <v>0</v>
      </c>
      <c r="I343" s="25">
        <v>17931</v>
      </c>
      <c r="J343" s="46">
        <f>H343+I343</f>
        <v>17931</v>
      </c>
      <c r="K343" s="26">
        <v>17881</v>
      </c>
      <c r="L343" s="10">
        <v>5653</v>
      </c>
      <c r="M343" s="33">
        <v>296</v>
      </c>
      <c r="N343" s="46">
        <f>J343+K343+L343+M343</f>
        <v>41761</v>
      </c>
      <c r="O343" s="50">
        <f>N343/C343/3</f>
        <v>3.0290172322002356</v>
      </c>
      <c r="P343" s="30">
        <f>E343-N343</f>
        <v>31111.809999999998</v>
      </c>
    </row>
    <row r="344" spans="1:16" ht="12.75">
      <c r="A344" s="10">
        <v>2</v>
      </c>
      <c r="B344" s="5" t="s">
        <v>174</v>
      </c>
      <c r="C344" s="13">
        <v>2974.92</v>
      </c>
      <c r="D344" s="25"/>
      <c r="E344" s="38">
        <f>F344+G344</f>
        <v>419903.73</v>
      </c>
      <c r="F344" s="13">
        <v>419903.73</v>
      </c>
      <c r="G344" s="37"/>
      <c r="H344" s="26">
        <v>93939</v>
      </c>
      <c r="I344" s="25">
        <v>128420</v>
      </c>
      <c r="J344" s="46">
        <f aca="true" t="shared" si="33" ref="J344:J390">H344+I344</f>
        <v>222359</v>
      </c>
      <c r="K344" s="26">
        <v>208982</v>
      </c>
      <c r="L344" s="10">
        <v>16235</v>
      </c>
      <c r="M344" s="33">
        <v>1941</v>
      </c>
      <c r="N344" s="46">
        <f aca="true" t="shared" si="34" ref="N344:N390">J344+K344+L344+M344</f>
        <v>449517</v>
      </c>
      <c r="O344" s="50">
        <f>N344/C344/12</f>
        <v>12.591851209444288</v>
      </c>
      <c r="P344" s="30">
        <f aca="true" t="shared" si="35" ref="P344:P391">E344-N344</f>
        <v>-29613.27000000002</v>
      </c>
    </row>
    <row r="345" spans="1:16" ht="12.75">
      <c r="A345" s="10">
        <v>3</v>
      </c>
      <c r="B345" s="5" t="s">
        <v>175</v>
      </c>
      <c r="C345" s="13">
        <v>7057.96</v>
      </c>
      <c r="D345" s="25"/>
      <c r="E345" s="38">
        <f aca="true" t="shared" si="36" ref="E345:E390">F345+G345</f>
        <v>918024.17</v>
      </c>
      <c r="F345" s="13">
        <v>918024.17</v>
      </c>
      <c r="G345" s="37"/>
      <c r="H345" s="26">
        <v>197802</v>
      </c>
      <c r="I345" s="25">
        <v>267550</v>
      </c>
      <c r="J345" s="46">
        <f t="shared" si="33"/>
        <v>465352</v>
      </c>
      <c r="K345" s="26">
        <v>373624</v>
      </c>
      <c r="L345" s="10">
        <v>48519</v>
      </c>
      <c r="M345" s="33">
        <v>4606</v>
      </c>
      <c r="N345" s="46">
        <f t="shared" si="34"/>
        <v>892101</v>
      </c>
      <c r="O345" s="50">
        <f aca="true" t="shared" si="37" ref="O345:O391">N345/C345/12</f>
        <v>10.53303645812671</v>
      </c>
      <c r="P345" s="30">
        <f t="shared" si="35"/>
        <v>25923.170000000042</v>
      </c>
    </row>
    <row r="346" spans="1:16" ht="12.75">
      <c r="A346" s="10">
        <v>4</v>
      </c>
      <c r="B346" s="5" t="s">
        <v>176</v>
      </c>
      <c r="C346" s="13">
        <v>1879.75</v>
      </c>
      <c r="D346" s="25"/>
      <c r="E346" s="38">
        <f t="shared" si="36"/>
        <v>243802.3</v>
      </c>
      <c r="F346" s="13">
        <v>243802.3</v>
      </c>
      <c r="G346" s="37"/>
      <c r="H346" s="26">
        <v>59338</v>
      </c>
      <c r="I346" s="25">
        <v>78326</v>
      </c>
      <c r="J346" s="46">
        <f t="shared" si="33"/>
        <v>137664</v>
      </c>
      <c r="K346" s="26">
        <v>74395</v>
      </c>
      <c r="L346" s="10">
        <v>9961</v>
      </c>
      <c r="M346" s="33">
        <v>1226</v>
      </c>
      <c r="N346" s="46">
        <f t="shared" si="34"/>
        <v>223246</v>
      </c>
      <c r="O346" s="50">
        <f t="shared" si="37"/>
        <v>9.896972115086227</v>
      </c>
      <c r="P346" s="30">
        <f t="shared" si="35"/>
        <v>20556.29999999999</v>
      </c>
    </row>
    <row r="347" spans="1:16" ht="12.75">
      <c r="A347" s="10">
        <v>5</v>
      </c>
      <c r="B347" s="5" t="s">
        <v>177</v>
      </c>
      <c r="C347" s="13">
        <v>4438.99</v>
      </c>
      <c r="D347" s="25"/>
      <c r="E347" s="38">
        <f t="shared" si="36"/>
        <v>626123.78</v>
      </c>
      <c r="F347" s="13">
        <v>626123.78</v>
      </c>
      <c r="G347" s="37"/>
      <c r="H347" s="26">
        <v>140170</v>
      </c>
      <c r="I347" s="25">
        <v>160241</v>
      </c>
      <c r="J347" s="46">
        <f t="shared" si="33"/>
        <v>300411</v>
      </c>
      <c r="K347" s="26">
        <v>310882</v>
      </c>
      <c r="L347" s="10">
        <v>24225</v>
      </c>
      <c r="M347" s="33">
        <v>2897</v>
      </c>
      <c r="N347" s="46">
        <f t="shared" si="34"/>
        <v>638415</v>
      </c>
      <c r="O347" s="50">
        <f t="shared" si="37"/>
        <v>11.984989828767356</v>
      </c>
      <c r="P347" s="30">
        <f t="shared" si="35"/>
        <v>-12291.219999999972</v>
      </c>
    </row>
    <row r="348" spans="1:16" ht="12.75">
      <c r="A348" s="10">
        <v>6</v>
      </c>
      <c r="B348" s="5" t="s">
        <v>178</v>
      </c>
      <c r="C348" s="13">
        <v>7001.3</v>
      </c>
      <c r="D348" s="25"/>
      <c r="E348" s="38">
        <f t="shared" si="36"/>
        <v>880377.45</v>
      </c>
      <c r="F348" s="13">
        <v>880377.45</v>
      </c>
      <c r="G348" s="37"/>
      <c r="H348" s="26">
        <v>195993</v>
      </c>
      <c r="I348" s="25">
        <v>274861</v>
      </c>
      <c r="J348" s="46">
        <f t="shared" si="33"/>
        <v>470854</v>
      </c>
      <c r="K348" s="26">
        <v>429323</v>
      </c>
      <c r="L348" s="10">
        <v>38209</v>
      </c>
      <c r="M348" s="33">
        <v>8627</v>
      </c>
      <c r="N348" s="46">
        <f t="shared" si="34"/>
        <v>947013</v>
      </c>
      <c r="O348" s="50">
        <f t="shared" si="37"/>
        <v>11.271870938254324</v>
      </c>
      <c r="P348" s="30">
        <f t="shared" si="35"/>
        <v>-66635.55000000005</v>
      </c>
    </row>
    <row r="349" spans="1:16" ht="12.75">
      <c r="A349" s="10">
        <v>7</v>
      </c>
      <c r="B349" s="5" t="s">
        <v>179</v>
      </c>
      <c r="C349" s="13">
        <v>3606.62</v>
      </c>
      <c r="D349" s="25"/>
      <c r="E349" s="38">
        <f t="shared" si="36"/>
        <v>407502.7</v>
      </c>
      <c r="F349" s="13">
        <v>407502.7</v>
      </c>
      <c r="G349" s="37"/>
      <c r="H349" s="26">
        <v>113886</v>
      </c>
      <c r="I349" s="25">
        <v>134283</v>
      </c>
      <c r="J349" s="46">
        <f t="shared" si="33"/>
        <v>248169</v>
      </c>
      <c r="K349" s="26">
        <v>673930</v>
      </c>
      <c r="L349" s="10">
        <v>19683</v>
      </c>
      <c r="M349" s="33">
        <v>2354</v>
      </c>
      <c r="N349" s="46">
        <f t="shared" si="34"/>
        <v>944136</v>
      </c>
      <c r="O349" s="50">
        <f t="shared" si="37"/>
        <v>21.814884850635778</v>
      </c>
      <c r="P349" s="30">
        <f t="shared" si="35"/>
        <v>-536633.3</v>
      </c>
    </row>
    <row r="350" spans="1:16" ht="12.75">
      <c r="A350" s="10">
        <v>8</v>
      </c>
      <c r="B350" s="5" t="s">
        <v>180</v>
      </c>
      <c r="C350" s="13">
        <v>3594.55</v>
      </c>
      <c r="D350" s="25"/>
      <c r="E350" s="38">
        <f t="shared" si="36"/>
        <v>409635.52</v>
      </c>
      <c r="F350" s="13">
        <v>404247.2</v>
      </c>
      <c r="G350" s="37">
        <v>5388.32</v>
      </c>
      <c r="H350" s="26">
        <v>113505</v>
      </c>
      <c r="I350" s="25">
        <v>133755</v>
      </c>
      <c r="J350" s="46">
        <f t="shared" si="33"/>
        <v>247260</v>
      </c>
      <c r="K350" s="26">
        <v>189327</v>
      </c>
      <c r="L350" s="10">
        <v>21949</v>
      </c>
      <c r="M350" s="33">
        <v>2345</v>
      </c>
      <c r="N350" s="46">
        <f t="shared" si="34"/>
        <v>460881</v>
      </c>
      <c r="O350" s="50">
        <f t="shared" si="37"/>
        <v>10.684717141227692</v>
      </c>
      <c r="P350" s="30">
        <f t="shared" si="35"/>
        <v>-51245.47999999998</v>
      </c>
    </row>
    <row r="351" spans="1:16" ht="12.75">
      <c r="A351" s="10">
        <v>9</v>
      </c>
      <c r="B351" s="5" t="s">
        <v>181</v>
      </c>
      <c r="C351" s="13">
        <v>3239.7</v>
      </c>
      <c r="D351" s="25"/>
      <c r="E351" s="38">
        <f t="shared" si="36"/>
        <v>233775.63</v>
      </c>
      <c r="F351" s="13">
        <v>214176.15</v>
      </c>
      <c r="G351" s="37">
        <v>19599.48</v>
      </c>
      <c r="H351" s="26">
        <v>49330</v>
      </c>
      <c r="I351" s="25">
        <v>63887</v>
      </c>
      <c r="J351" s="46">
        <f t="shared" si="33"/>
        <v>113217</v>
      </c>
      <c r="K351" s="26">
        <v>111371</v>
      </c>
      <c r="L351" s="61">
        <v>8585</v>
      </c>
      <c r="M351" s="33">
        <v>389</v>
      </c>
      <c r="N351" s="46">
        <f t="shared" si="34"/>
        <v>233562</v>
      </c>
      <c r="O351" s="50">
        <f t="shared" si="37"/>
        <v>6.0078093650646665</v>
      </c>
      <c r="P351" s="30">
        <f t="shared" si="35"/>
        <v>213.63000000000466</v>
      </c>
    </row>
    <row r="352" spans="1:16" ht="12.75">
      <c r="A352" s="10">
        <v>10</v>
      </c>
      <c r="B352" s="5" t="s">
        <v>182</v>
      </c>
      <c r="C352" s="13">
        <v>3613.83</v>
      </c>
      <c r="D352" s="25"/>
      <c r="E352" s="38">
        <f t="shared" si="36"/>
        <v>467759.19</v>
      </c>
      <c r="F352" s="13">
        <v>467759.19</v>
      </c>
      <c r="G352" s="37"/>
      <c r="H352" s="26">
        <v>114114</v>
      </c>
      <c r="I352" s="25">
        <v>146567</v>
      </c>
      <c r="J352" s="46">
        <f t="shared" si="33"/>
        <v>260681</v>
      </c>
      <c r="K352" s="26">
        <v>561959</v>
      </c>
      <c r="L352" s="10">
        <v>19722</v>
      </c>
      <c r="M352" s="33">
        <v>2358</v>
      </c>
      <c r="N352" s="46">
        <f t="shared" si="34"/>
        <v>844720</v>
      </c>
      <c r="O352" s="50">
        <f t="shared" si="37"/>
        <v>19.47887236901939</v>
      </c>
      <c r="P352" s="30">
        <f t="shared" si="35"/>
        <v>-376960.81</v>
      </c>
    </row>
    <row r="353" spans="1:16" ht="12.75">
      <c r="A353" s="10">
        <v>11</v>
      </c>
      <c r="B353" s="5" t="s">
        <v>183</v>
      </c>
      <c r="C353" s="13">
        <v>3614.21</v>
      </c>
      <c r="D353" s="25"/>
      <c r="E353" s="38">
        <f t="shared" si="36"/>
        <v>380447.91</v>
      </c>
      <c r="F353" s="13">
        <v>380447.91</v>
      </c>
      <c r="G353" s="37"/>
      <c r="H353" s="26">
        <v>114126</v>
      </c>
      <c r="I353" s="25">
        <v>130873</v>
      </c>
      <c r="J353" s="46">
        <f t="shared" si="33"/>
        <v>244999</v>
      </c>
      <c r="K353" s="26">
        <v>280590</v>
      </c>
      <c r="L353" s="10">
        <v>19724</v>
      </c>
      <c r="M353" s="33">
        <v>2358</v>
      </c>
      <c r="N353" s="46">
        <f t="shared" si="34"/>
        <v>547671</v>
      </c>
      <c r="O353" s="50">
        <f t="shared" si="37"/>
        <v>12.627725007678025</v>
      </c>
      <c r="P353" s="30">
        <f t="shared" si="35"/>
        <v>-167223.09000000003</v>
      </c>
    </row>
    <row r="354" spans="1:16" ht="12.75">
      <c r="A354" s="10">
        <v>12</v>
      </c>
      <c r="B354" s="5" t="s">
        <v>184</v>
      </c>
      <c r="C354" s="13">
        <v>3644.1</v>
      </c>
      <c r="D354" s="25"/>
      <c r="E354" s="38">
        <f t="shared" si="36"/>
        <v>411612.66</v>
      </c>
      <c r="F354" s="13">
        <v>411612.66</v>
      </c>
      <c r="G354" s="37"/>
      <c r="H354" s="26">
        <v>115070</v>
      </c>
      <c r="I354" s="25">
        <v>137890</v>
      </c>
      <c r="J354" s="46">
        <f t="shared" si="33"/>
        <v>252960</v>
      </c>
      <c r="K354" s="26">
        <v>275151</v>
      </c>
      <c r="L354" s="10">
        <v>19887</v>
      </c>
      <c r="M354" s="33">
        <v>2378</v>
      </c>
      <c r="N354" s="46">
        <f t="shared" si="34"/>
        <v>550376</v>
      </c>
      <c r="O354" s="50">
        <f t="shared" si="37"/>
        <v>12.586006604282723</v>
      </c>
      <c r="P354" s="30">
        <f t="shared" si="35"/>
        <v>-138763.34000000003</v>
      </c>
    </row>
    <row r="355" spans="1:16" ht="12.75">
      <c r="A355" s="10">
        <v>13</v>
      </c>
      <c r="B355" s="5" t="s">
        <v>185</v>
      </c>
      <c r="C355" s="13">
        <v>3605.33</v>
      </c>
      <c r="D355" s="33"/>
      <c r="E355" s="38">
        <f t="shared" si="36"/>
        <v>439018.74</v>
      </c>
      <c r="F355" s="13">
        <v>418262.91</v>
      </c>
      <c r="G355" s="37">
        <v>20755.83</v>
      </c>
      <c r="H355" s="26">
        <v>113845</v>
      </c>
      <c r="I355" s="25">
        <v>136734</v>
      </c>
      <c r="J355" s="46">
        <f t="shared" si="33"/>
        <v>250579</v>
      </c>
      <c r="K355" s="26">
        <v>206334</v>
      </c>
      <c r="L355" s="10">
        <v>19676</v>
      </c>
      <c r="M355" s="33">
        <v>2353</v>
      </c>
      <c r="N355" s="46">
        <f t="shared" si="34"/>
        <v>478942</v>
      </c>
      <c r="O355" s="50">
        <f t="shared" si="37"/>
        <v>11.070230279428882</v>
      </c>
      <c r="P355" s="30">
        <f t="shared" si="35"/>
        <v>-39923.26000000001</v>
      </c>
    </row>
    <row r="356" spans="1:16" ht="12.75">
      <c r="A356" s="10">
        <v>14</v>
      </c>
      <c r="B356" s="5" t="s">
        <v>186</v>
      </c>
      <c r="C356" s="13">
        <v>1849.2</v>
      </c>
      <c r="D356" s="25"/>
      <c r="E356" s="38">
        <f t="shared" si="36"/>
        <v>121107.82</v>
      </c>
      <c r="F356" s="13">
        <v>121107.82</v>
      </c>
      <c r="G356" s="37"/>
      <c r="H356" s="26">
        <v>58392</v>
      </c>
      <c r="I356" s="25">
        <v>103940</v>
      </c>
      <c r="J356" s="46">
        <f t="shared" si="33"/>
        <v>162332</v>
      </c>
      <c r="K356" s="26">
        <v>58569</v>
      </c>
      <c r="L356" s="10">
        <v>10092</v>
      </c>
      <c r="M356" s="33">
        <v>1206</v>
      </c>
      <c r="N356" s="46">
        <f t="shared" si="34"/>
        <v>232199</v>
      </c>
      <c r="O356" s="50">
        <f t="shared" si="37"/>
        <v>10.463939361165188</v>
      </c>
      <c r="P356" s="30">
        <f t="shared" si="35"/>
        <v>-111091.18</v>
      </c>
    </row>
    <row r="357" spans="1:16" ht="12.75">
      <c r="A357" s="10">
        <v>15</v>
      </c>
      <c r="B357" s="5" t="s">
        <v>187</v>
      </c>
      <c r="C357" s="13">
        <v>3604.48</v>
      </c>
      <c r="D357" s="25"/>
      <c r="E357" s="38">
        <f t="shared" si="36"/>
        <v>399143.5</v>
      </c>
      <c r="F357" s="13">
        <v>399143.5</v>
      </c>
      <c r="G357" s="37"/>
      <c r="H357" s="26">
        <v>113819</v>
      </c>
      <c r="I357" s="25">
        <v>131338</v>
      </c>
      <c r="J357" s="46">
        <f t="shared" si="33"/>
        <v>245157</v>
      </c>
      <c r="K357" s="26">
        <v>262039</v>
      </c>
      <c r="L357" s="10">
        <v>20432</v>
      </c>
      <c r="M357" s="33">
        <v>2352</v>
      </c>
      <c r="N357" s="46">
        <f t="shared" si="34"/>
        <v>529980</v>
      </c>
      <c r="O357" s="50">
        <f t="shared" si="37"/>
        <v>12.2528076171875</v>
      </c>
      <c r="P357" s="30">
        <f t="shared" si="35"/>
        <v>-130836.5</v>
      </c>
    </row>
    <row r="358" spans="1:16" ht="12.75">
      <c r="A358" s="10">
        <v>16</v>
      </c>
      <c r="B358" s="5" t="s">
        <v>188</v>
      </c>
      <c r="C358" s="13">
        <v>3618.73</v>
      </c>
      <c r="D358" s="25"/>
      <c r="E358" s="38">
        <f t="shared" si="36"/>
        <v>417207.06</v>
      </c>
      <c r="F358" s="13">
        <v>417207.06</v>
      </c>
      <c r="G358" s="37"/>
      <c r="H358" s="26">
        <v>114269</v>
      </c>
      <c r="I358" s="25">
        <v>141674</v>
      </c>
      <c r="J358" s="46">
        <f t="shared" si="33"/>
        <v>255943</v>
      </c>
      <c r="K358" s="26">
        <v>240095</v>
      </c>
      <c r="L358" s="10">
        <v>19860</v>
      </c>
      <c r="M358" s="33">
        <v>2361</v>
      </c>
      <c r="N358" s="46">
        <f t="shared" si="34"/>
        <v>518259</v>
      </c>
      <c r="O358" s="50">
        <f t="shared" si="37"/>
        <v>11.93464281667878</v>
      </c>
      <c r="P358" s="30">
        <f t="shared" si="35"/>
        <v>-101051.94</v>
      </c>
    </row>
    <row r="359" spans="1:16" ht="12.75">
      <c r="A359" s="10">
        <v>17</v>
      </c>
      <c r="B359" s="5" t="s">
        <v>189</v>
      </c>
      <c r="C359" s="13">
        <v>3887.7</v>
      </c>
      <c r="D359" s="25"/>
      <c r="E359" s="38">
        <f t="shared" si="36"/>
        <v>520811.14</v>
      </c>
      <c r="F359" s="13">
        <v>520811.14</v>
      </c>
      <c r="G359" s="37"/>
      <c r="H359" s="26">
        <v>122762</v>
      </c>
      <c r="I359" s="25">
        <v>132862</v>
      </c>
      <c r="J359" s="46">
        <f t="shared" si="33"/>
        <v>255624</v>
      </c>
      <c r="K359" s="26">
        <v>438383</v>
      </c>
      <c r="L359" s="10">
        <v>21217</v>
      </c>
      <c r="M359" s="33">
        <v>2536</v>
      </c>
      <c r="N359" s="46">
        <f t="shared" si="34"/>
        <v>717760</v>
      </c>
      <c r="O359" s="50">
        <f t="shared" si="37"/>
        <v>15.385274926906227</v>
      </c>
      <c r="P359" s="30">
        <f t="shared" si="35"/>
        <v>-196948.86</v>
      </c>
    </row>
    <row r="360" spans="1:16" ht="12.75">
      <c r="A360" s="10">
        <v>18</v>
      </c>
      <c r="B360" s="5" t="s">
        <v>190</v>
      </c>
      <c r="C360" s="13">
        <v>3615.45</v>
      </c>
      <c r="D360" s="25"/>
      <c r="E360" s="38">
        <f t="shared" si="36"/>
        <v>387297.7</v>
      </c>
      <c r="F360" s="10">
        <v>387297.7</v>
      </c>
      <c r="G360" s="37"/>
      <c r="H360" s="26">
        <v>114165</v>
      </c>
      <c r="I360" s="25">
        <v>131216</v>
      </c>
      <c r="J360" s="46">
        <f t="shared" si="33"/>
        <v>245381</v>
      </c>
      <c r="K360" s="26">
        <v>572415</v>
      </c>
      <c r="L360" s="10">
        <v>20901</v>
      </c>
      <c r="M360" s="33">
        <v>2359</v>
      </c>
      <c r="N360" s="46">
        <f t="shared" si="34"/>
        <v>841056</v>
      </c>
      <c r="O360" s="50">
        <f t="shared" si="37"/>
        <v>19.38569196089007</v>
      </c>
      <c r="P360" s="30">
        <f t="shared" si="35"/>
        <v>-453758.3</v>
      </c>
    </row>
    <row r="361" spans="1:16" ht="12.75">
      <c r="A361" s="10">
        <v>19</v>
      </c>
      <c r="B361" s="5" t="s">
        <v>191</v>
      </c>
      <c r="C361" s="13">
        <v>2678.39</v>
      </c>
      <c r="D361" s="25"/>
      <c r="E361" s="38">
        <f t="shared" si="36"/>
        <v>313802.25</v>
      </c>
      <c r="F361" s="13">
        <v>313802.25</v>
      </c>
      <c r="G361" s="37"/>
      <c r="H361" s="26">
        <v>84575</v>
      </c>
      <c r="I361" s="25">
        <v>109415</v>
      </c>
      <c r="J361" s="46">
        <f t="shared" si="33"/>
        <v>193990</v>
      </c>
      <c r="K361" s="26">
        <v>245499</v>
      </c>
      <c r="L361" s="10">
        <v>14617</v>
      </c>
      <c r="M361" s="33">
        <v>1747</v>
      </c>
      <c r="N361" s="46">
        <f t="shared" si="34"/>
        <v>455853</v>
      </c>
      <c r="O361" s="50">
        <f t="shared" si="37"/>
        <v>14.183053998857524</v>
      </c>
      <c r="P361" s="30">
        <f t="shared" si="35"/>
        <v>-142050.75</v>
      </c>
    </row>
    <row r="362" spans="1:16" ht="12.75">
      <c r="A362" s="10">
        <v>20</v>
      </c>
      <c r="B362" s="5" t="s">
        <v>192</v>
      </c>
      <c r="C362" s="13">
        <v>3614.83</v>
      </c>
      <c r="D362" s="25"/>
      <c r="E362" s="38">
        <f t="shared" si="36"/>
        <v>308556.24</v>
      </c>
      <c r="F362" s="13">
        <v>308556.24</v>
      </c>
      <c r="G362" s="37"/>
      <c r="H362" s="26">
        <v>114145</v>
      </c>
      <c r="I362" s="25">
        <v>122579</v>
      </c>
      <c r="J362" s="46">
        <f t="shared" si="33"/>
        <v>236724</v>
      </c>
      <c r="K362" s="26">
        <v>232649</v>
      </c>
      <c r="L362" s="10">
        <v>18879</v>
      </c>
      <c r="M362" s="33">
        <v>2359</v>
      </c>
      <c r="N362" s="46">
        <f t="shared" si="34"/>
        <v>490611</v>
      </c>
      <c r="O362" s="50">
        <f t="shared" si="37"/>
        <v>11.310144598777812</v>
      </c>
      <c r="P362" s="30">
        <f t="shared" si="35"/>
        <v>-182054.76</v>
      </c>
    </row>
    <row r="363" spans="1:16" ht="12.75">
      <c r="A363" s="10">
        <v>21</v>
      </c>
      <c r="B363" s="5" t="s">
        <v>193</v>
      </c>
      <c r="C363" s="13">
        <v>3608.85</v>
      </c>
      <c r="D363" s="25"/>
      <c r="E363" s="38">
        <f t="shared" si="36"/>
        <v>409589.43</v>
      </c>
      <c r="F363" s="13">
        <v>404531.42</v>
      </c>
      <c r="G363" s="37">
        <v>5058.01</v>
      </c>
      <c r="H363" s="26">
        <v>113957</v>
      </c>
      <c r="I363" s="25">
        <v>128777</v>
      </c>
      <c r="J363" s="46">
        <f t="shared" si="33"/>
        <v>242734</v>
      </c>
      <c r="K363" s="26">
        <v>360180</v>
      </c>
      <c r="L363" s="10">
        <v>19695</v>
      </c>
      <c r="M363" s="33">
        <v>2355</v>
      </c>
      <c r="N363" s="46">
        <f t="shared" si="34"/>
        <v>624964</v>
      </c>
      <c r="O363" s="50">
        <f t="shared" si="37"/>
        <v>14.431282356798796</v>
      </c>
      <c r="P363" s="30">
        <f t="shared" si="35"/>
        <v>-215374.57</v>
      </c>
    </row>
    <row r="364" spans="1:16" ht="12.75">
      <c r="A364" s="10">
        <v>22</v>
      </c>
      <c r="B364" s="5" t="s">
        <v>194</v>
      </c>
      <c r="C364" s="13">
        <v>3608.24</v>
      </c>
      <c r="D364" s="25"/>
      <c r="E364" s="38">
        <f t="shared" si="36"/>
        <v>380142.95</v>
      </c>
      <c r="F364" s="13">
        <v>380142.95</v>
      </c>
      <c r="G364" s="37"/>
      <c r="H364" s="26">
        <v>113937</v>
      </c>
      <c r="I364" s="25">
        <v>125862</v>
      </c>
      <c r="J364" s="46">
        <f t="shared" si="33"/>
        <v>239799</v>
      </c>
      <c r="K364" s="26">
        <v>225491</v>
      </c>
      <c r="L364" s="10">
        <v>19691</v>
      </c>
      <c r="M364" s="33">
        <v>2355</v>
      </c>
      <c r="N364" s="46">
        <f t="shared" si="34"/>
        <v>487336</v>
      </c>
      <c r="O364" s="50">
        <f t="shared" si="37"/>
        <v>11.255164105861398</v>
      </c>
      <c r="P364" s="30">
        <f t="shared" si="35"/>
        <v>-107193.04999999999</v>
      </c>
    </row>
    <row r="365" spans="1:16" ht="12.75">
      <c r="A365" s="10">
        <v>23</v>
      </c>
      <c r="B365" s="5" t="s">
        <v>195</v>
      </c>
      <c r="C365" s="13">
        <v>2527.69</v>
      </c>
      <c r="D365" s="25"/>
      <c r="E365" s="38">
        <f t="shared" si="36"/>
        <v>272612.94</v>
      </c>
      <c r="F365" s="13">
        <v>272612.94</v>
      </c>
      <c r="G365" s="37"/>
      <c r="H365" s="26">
        <v>79817</v>
      </c>
      <c r="I365" s="25">
        <v>108706</v>
      </c>
      <c r="J365" s="46">
        <f t="shared" si="33"/>
        <v>188523</v>
      </c>
      <c r="K365" s="26">
        <v>147914</v>
      </c>
      <c r="L365" s="10">
        <v>13795</v>
      </c>
      <c r="M365" s="33">
        <v>1649</v>
      </c>
      <c r="N365" s="46">
        <f t="shared" si="34"/>
        <v>351881</v>
      </c>
      <c r="O365" s="50">
        <f t="shared" si="37"/>
        <v>11.600875371056842</v>
      </c>
      <c r="P365" s="30">
        <f t="shared" si="35"/>
        <v>-79268.06</v>
      </c>
    </row>
    <row r="366" spans="1:16" ht="12.75">
      <c r="A366" s="10">
        <v>24</v>
      </c>
      <c r="B366" s="5" t="s">
        <v>196</v>
      </c>
      <c r="C366" s="13">
        <v>3613.63</v>
      </c>
      <c r="D366" s="25"/>
      <c r="E366" s="38">
        <f t="shared" si="36"/>
        <v>341410.46</v>
      </c>
      <c r="F366" s="13">
        <v>321005.03</v>
      </c>
      <c r="G366" s="37">
        <v>20405.43</v>
      </c>
      <c r="H366" s="26">
        <v>114107</v>
      </c>
      <c r="I366" s="25">
        <v>125662</v>
      </c>
      <c r="J366" s="46">
        <f t="shared" si="33"/>
        <v>239769</v>
      </c>
      <c r="K366" s="26">
        <v>441221</v>
      </c>
      <c r="L366" s="10">
        <v>19721</v>
      </c>
      <c r="M366" s="33">
        <v>2358</v>
      </c>
      <c r="N366" s="46">
        <f t="shared" si="34"/>
        <v>703069</v>
      </c>
      <c r="O366" s="50">
        <f t="shared" si="37"/>
        <v>16.213359788725832</v>
      </c>
      <c r="P366" s="30">
        <f t="shared" si="35"/>
        <v>-361658.54</v>
      </c>
    </row>
    <row r="367" spans="1:16" ht="12.75">
      <c r="A367" s="10">
        <v>25</v>
      </c>
      <c r="B367" s="5" t="s">
        <v>197</v>
      </c>
      <c r="C367" s="13">
        <v>3657.15</v>
      </c>
      <c r="D367" s="25"/>
      <c r="E367" s="38">
        <f t="shared" si="36"/>
        <v>421127.27</v>
      </c>
      <c r="F367" s="13">
        <v>421127.27</v>
      </c>
      <c r="G367" s="37"/>
      <c r="H367" s="26">
        <v>115482</v>
      </c>
      <c r="I367" s="25">
        <v>128575</v>
      </c>
      <c r="J367" s="46">
        <f t="shared" si="33"/>
        <v>244057</v>
      </c>
      <c r="K367" s="26">
        <v>279052</v>
      </c>
      <c r="L367" s="10">
        <v>19959</v>
      </c>
      <c r="M367" s="33">
        <v>2387</v>
      </c>
      <c r="N367" s="46">
        <f t="shared" si="34"/>
        <v>545455</v>
      </c>
      <c r="O367" s="50">
        <f t="shared" si="37"/>
        <v>12.428963354889282</v>
      </c>
      <c r="P367" s="30">
        <f t="shared" si="35"/>
        <v>-124327.72999999998</v>
      </c>
    </row>
    <row r="368" spans="1:16" ht="12.75">
      <c r="A368" s="10">
        <v>26</v>
      </c>
      <c r="B368" s="5" t="s">
        <v>198</v>
      </c>
      <c r="C368" s="13">
        <v>3613.94</v>
      </c>
      <c r="D368" s="25"/>
      <c r="E368" s="38">
        <f t="shared" si="36"/>
        <v>401455.64</v>
      </c>
      <c r="F368" s="13">
        <v>382549.57</v>
      </c>
      <c r="G368" s="37">
        <v>18906.07</v>
      </c>
      <c r="H368" s="26">
        <v>114117</v>
      </c>
      <c r="I368" s="25">
        <v>130545</v>
      </c>
      <c r="J368" s="46">
        <f t="shared" si="33"/>
        <v>244662</v>
      </c>
      <c r="K368" s="26">
        <v>365009</v>
      </c>
      <c r="L368" s="10">
        <v>19723</v>
      </c>
      <c r="M368" s="33">
        <v>2358</v>
      </c>
      <c r="N368" s="46">
        <f t="shared" si="34"/>
        <v>631752</v>
      </c>
      <c r="O368" s="50">
        <f t="shared" si="37"/>
        <v>14.567480367687343</v>
      </c>
      <c r="P368" s="30">
        <f t="shared" si="35"/>
        <v>-230296.36</v>
      </c>
    </row>
    <row r="369" spans="1:16" ht="12.75">
      <c r="A369" s="10">
        <v>27</v>
      </c>
      <c r="B369" s="5" t="s">
        <v>199</v>
      </c>
      <c r="C369" s="13">
        <v>3619.08</v>
      </c>
      <c r="D369" s="25"/>
      <c r="E369" s="38">
        <f t="shared" si="36"/>
        <v>425107.53</v>
      </c>
      <c r="F369" s="13">
        <v>425107.53</v>
      </c>
      <c r="G369" s="37"/>
      <c r="H369" s="26">
        <v>114280</v>
      </c>
      <c r="I369" s="25">
        <v>131897</v>
      </c>
      <c r="J369" s="46">
        <f t="shared" si="33"/>
        <v>246177</v>
      </c>
      <c r="K369" s="26">
        <v>550901</v>
      </c>
      <c r="L369" s="10">
        <v>19751</v>
      </c>
      <c r="M369" s="33">
        <v>2361</v>
      </c>
      <c r="N369" s="46">
        <f t="shared" si="34"/>
        <v>819190</v>
      </c>
      <c r="O369" s="50">
        <f t="shared" si="37"/>
        <v>18.862758859525993</v>
      </c>
      <c r="P369" s="30">
        <f t="shared" si="35"/>
        <v>-394082.47</v>
      </c>
    </row>
    <row r="370" spans="1:16" ht="12.75">
      <c r="A370" s="10">
        <v>28</v>
      </c>
      <c r="B370" s="5" t="s">
        <v>200</v>
      </c>
      <c r="C370" s="13">
        <v>3626.99</v>
      </c>
      <c r="D370" s="25"/>
      <c r="E370" s="38">
        <f t="shared" si="36"/>
        <v>406231.57</v>
      </c>
      <c r="F370" s="13">
        <v>406231.57</v>
      </c>
      <c r="G370" s="37"/>
      <c r="H370" s="26">
        <v>114529</v>
      </c>
      <c r="I370" s="25">
        <v>144407</v>
      </c>
      <c r="J370" s="46">
        <f t="shared" si="33"/>
        <v>258936</v>
      </c>
      <c r="K370" s="26">
        <v>204350</v>
      </c>
      <c r="L370" s="10">
        <v>19794</v>
      </c>
      <c r="M370" s="33">
        <v>2367</v>
      </c>
      <c r="N370" s="46">
        <f t="shared" si="34"/>
        <v>485447</v>
      </c>
      <c r="O370" s="50">
        <f t="shared" si="37"/>
        <v>11.15357821958888</v>
      </c>
      <c r="P370" s="30">
        <f t="shared" si="35"/>
        <v>-79215.43</v>
      </c>
    </row>
    <row r="371" spans="1:16" ht="12.75">
      <c r="A371" s="10">
        <v>29</v>
      </c>
      <c r="B371" s="5" t="s">
        <v>201</v>
      </c>
      <c r="C371" s="13">
        <v>3621.21</v>
      </c>
      <c r="D371" s="25"/>
      <c r="E371" s="38">
        <f t="shared" si="36"/>
        <v>391002.11</v>
      </c>
      <c r="F371" s="13">
        <v>391002.11</v>
      </c>
      <c r="G371" s="37"/>
      <c r="H371" s="26">
        <v>114347</v>
      </c>
      <c r="I371" s="25">
        <v>131838</v>
      </c>
      <c r="J371" s="46">
        <f t="shared" si="33"/>
        <v>246185</v>
      </c>
      <c r="K371" s="26">
        <v>496737</v>
      </c>
      <c r="L371" s="10">
        <v>19763</v>
      </c>
      <c r="M371" s="33">
        <v>2363</v>
      </c>
      <c r="N371" s="46">
        <f t="shared" si="34"/>
        <v>765048</v>
      </c>
      <c r="O371" s="50">
        <f t="shared" si="37"/>
        <v>17.60571742594326</v>
      </c>
      <c r="P371" s="30">
        <f t="shared" si="35"/>
        <v>-374045.89</v>
      </c>
    </row>
    <row r="372" spans="1:16" ht="12.75">
      <c r="A372" s="10">
        <v>30</v>
      </c>
      <c r="B372" s="5" t="s">
        <v>202</v>
      </c>
      <c r="C372" s="13">
        <v>3616.22</v>
      </c>
      <c r="D372" s="25"/>
      <c r="E372" s="38">
        <f t="shared" si="36"/>
        <v>430614.6</v>
      </c>
      <c r="F372" s="13">
        <v>430614.6</v>
      </c>
      <c r="G372" s="37"/>
      <c r="H372" s="26">
        <v>114189</v>
      </c>
      <c r="I372" s="25">
        <v>132952</v>
      </c>
      <c r="J372" s="46">
        <f t="shared" si="33"/>
        <v>247141</v>
      </c>
      <c r="K372" s="26">
        <v>163243</v>
      </c>
      <c r="L372" s="10">
        <v>19735</v>
      </c>
      <c r="M372" s="33">
        <v>2359</v>
      </c>
      <c r="N372" s="46">
        <f t="shared" si="34"/>
        <v>432478</v>
      </c>
      <c r="O372" s="50">
        <f t="shared" si="37"/>
        <v>9.966161719511904</v>
      </c>
      <c r="P372" s="30">
        <f t="shared" si="35"/>
        <v>-1863.4000000000233</v>
      </c>
    </row>
    <row r="373" spans="1:16" ht="12.75">
      <c r="A373" s="10">
        <v>31</v>
      </c>
      <c r="B373" s="5" t="s">
        <v>203</v>
      </c>
      <c r="C373" s="13">
        <v>3641.89</v>
      </c>
      <c r="D373" s="25"/>
      <c r="E373" s="38">
        <f t="shared" si="36"/>
        <v>414749.32</v>
      </c>
      <c r="F373" s="13">
        <v>414749.32</v>
      </c>
      <c r="G373" s="37"/>
      <c r="H373" s="26">
        <v>115000</v>
      </c>
      <c r="I373" s="25">
        <v>136175</v>
      </c>
      <c r="J373" s="46">
        <f t="shared" si="33"/>
        <v>251175</v>
      </c>
      <c r="K373" s="26">
        <v>411805</v>
      </c>
      <c r="L373" s="10">
        <v>19785</v>
      </c>
      <c r="M373" s="33">
        <v>2377</v>
      </c>
      <c r="N373" s="46">
        <f t="shared" si="34"/>
        <v>685142</v>
      </c>
      <c r="O373" s="50">
        <f t="shared" si="37"/>
        <v>15.677345187983896</v>
      </c>
      <c r="P373" s="30">
        <f t="shared" si="35"/>
        <v>-270392.68</v>
      </c>
    </row>
    <row r="374" spans="1:16" ht="12.75">
      <c r="A374" s="10">
        <v>32</v>
      </c>
      <c r="B374" s="5" t="s">
        <v>204</v>
      </c>
      <c r="C374" s="13">
        <v>3803.6</v>
      </c>
      <c r="D374" s="25"/>
      <c r="E374" s="38">
        <f t="shared" si="36"/>
        <v>381509.86</v>
      </c>
      <c r="F374" s="13">
        <v>381509.86</v>
      </c>
      <c r="G374" s="37"/>
      <c r="H374" s="26">
        <v>120106</v>
      </c>
      <c r="I374" s="25">
        <v>138100</v>
      </c>
      <c r="J374" s="46">
        <f t="shared" si="33"/>
        <v>258206</v>
      </c>
      <c r="K374" s="26">
        <v>118925</v>
      </c>
      <c r="L374" s="10">
        <v>20758</v>
      </c>
      <c r="M374" s="33">
        <v>2482</v>
      </c>
      <c r="N374" s="46">
        <f t="shared" si="34"/>
        <v>400371</v>
      </c>
      <c r="O374" s="50">
        <f t="shared" si="37"/>
        <v>8.771755705121464</v>
      </c>
      <c r="P374" s="30">
        <f t="shared" si="35"/>
        <v>-18861.140000000014</v>
      </c>
    </row>
    <row r="375" spans="1:16" ht="12.75">
      <c r="A375" s="10">
        <v>33</v>
      </c>
      <c r="B375" s="5" t="s">
        <v>205</v>
      </c>
      <c r="C375" s="13">
        <v>3765.82</v>
      </c>
      <c r="D375" s="25"/>
      <c r="E375" s="38">
        <f t="shared" si="36"/>
        <v>404141.87</v>
      </c>
      <c r="F375" s="13">
        <v>402241.07</v>
      </c>
      <c r="G375" s="37">
        <v>1900.8</v>
      </c>
      <c r="H375" s="26">
        <v>118913</v>
      </c>
      <c r="I375" s="25">
        <v>126199</v>
      </c>
      <c r="J375" s="46">
        <f t="shared" si="33"/>
        <v>245112</v>
      </c>
      <c r="K375" s="26">
        <v>158309</v>
      </c>
      <c r="L375" s="10">
        <v>20552</v>
      </c>
      <c r="M375" s="33">
        <v>2458</v>
      </c>
      <c r="N375" s="46">
        <f t="shared" si="34"/>
        <v>426431</v>
      </c>
      <c r="O375" s="50">
        <f t="shared" si="37"/>
        <v>9.436435269520759</v>
      </c>
      <c r="P375" s="30">
        <f t="shared" si="35"/>
        <v>-22289.130000000005</v>
      </c>
    </row>
    <row r="376" spans="1:16" ht="12.75">
      <c r="A376" s="10"/>
      <c r="B376" s="22"/>
      <c r="C376" s="22"/>
      <c r="D376" s="25"/>
      <c r="E376" s="38">
        <f t="shared" si="36"/>
        <v>0</v>
      </c>
      <c r="F376" s="22"/>
      <c r="G376" s="40"/>
      <c r="H376" s="34"/>
      <c r="I376" s="44"/>
      <c r="J376" s="46">
        <f t="shared" si="33"/>
        <v>0</v>
      </c>
      <c r="K376" s="34"/>
      <c r="L376" s="22"/>
      <c r="M376" s="33"/>
      <c r="N376" s="46">
        <f t="shared" si="34"/>
        <v>0</v>
      </c>
      <c r="O376" s="50"/>
      <c r="P376" s="30">
        <f t="shared" si="35"/>
        <v>0</v>
      </c>
    </row>
    <row r="377" spans="1:16" ht="12.75">
      <c r="A377" s="10">
        <v>34</v>
      </c>
      <c r="B377" s="5" t="s">
        <v>206</v>
      </c>
      <c r="C377" s="13">
        <v>3805.6</v>
      </c>
      <c r="D377" s="25"/>
      <c r="E377" s="38">
        <f t="shared" si="36"/>
        <v>428680.85</v>
      </c>
      <c r="F377" s="13">
        <v>428680.85</v>
      </c>
      <c r="G377" s="37"/>
      <c r="H377" s="26">
        <v>118920</v>
      </c>
      <c r="I377" s="25">
        <v>142242</v>
      </c>
      <c r="J377" s="46">
        <f t="shared" si="33"/>
        <v>261162</v>
      </c>
      <c r="K377" s="26">
        <v>288873</v>
      </c>
      <c r="L377" s="10">
        <v>20769</v>
      </c>
      <c r="M377" s="33">
        <v>2483</v>
      </c>
      <c r="N377" s="46">
        <f t="shared" si="34"/>
        <v>573287</v>
      </c>
      <c r="O377" s="50">
        <f t="shared" si="37"/>
        <v>12.55358331581529</v>
      </c>
      <c r="P377" s="30">
        <f t="shared" si="35"/>
        <v>-144606.15000000002</v>
      </c>
    </row>
    <row r="378" spans="1:16" ht="12.75">
      <c r="A378" s="10">
        <v>35</v>
      </c>
      <c r="B378" s="5" t="s">
        <v>207</v>
      </c>
      <c r="C378" s="13">
        <v>3812.15</v>
      </c>
      <c r="D378" s="25"/>
      <c r="E378" s="38">
        <f t="shared" si="36"/>
        <v>436645.28</v>
      </c>
      <c r="F378" s="13">
        <v>436645.28</v>
      </c>
      <c r="G378" s="37"/>
      <c r="H378" s="26">
        <v>120376</v>
      </c>
      <c r="I378" s="25">
        <v>146167</v>
      </c>
      <c r="J378" s="46">
        <f t="shared" si="33"/>
        <v>266543</v>
      </c>
      <c r="K378" s="26">
        <v>279005</v>
      </c>
      <c r="L378" s="10">
        <v>20805</v>
      </c>
      <c r="M378" s="33">
        <v>2487</v>
      </c>
      <c r="N378" s="46">
        <f t="shared" si="34"/>
        <v>568840</v>
      </c>
      <c r="O378" s="50">
        <f t="shared" si="37"/>
        <v>12.434802757848807</v>
      </c>
      <c r="P378" s="30">
        <f t="shared" si="35"/>
        <v>-132194.71999999997</v>
      </c>
    </row>
    <row r="379" spans="1:16" ht="12.75">
      <c r="A379" s="10">
        <v>36</v>
      </c>
      <c r="B379" s="5" t="s">
        <v>208</v>
      </c>
      <c r="C379" s="13">
        <v>3801.02</v>
      </c>
      <c r="D379" s="25"/>
      <c r="E379" s="38">
        <f t="shared" si="36"/>
        <v>437748.6</v>
      </c>
      <c r="F379" s="13">
        <v>437748.6</v>
      </c>
      <c r="G379" s="37"/>
      <c r="H379" s="26">
        <v>120025</v>
      </c>
      <c r="I379" s="25">
        <v>135379</v>
      </c>
      <c r="J379" s="46">
        <f t="shared" si="33"/>
        <v>255404</v>
      </c>
      <c r="K379" s="26">
        <v>163328</v>
      </c>
      <c r="L379" s="10">
        <v>20744</v>
      </c>
      <c r="M379" s="33">
        <v>2481</v>
      </c>
      <c r="N379" s="46">
        <f t="shared" si="34"/>
        <v>441957</v>
      </c>
      <c r="O379" s="50">
        <f t="shared" si="37"/>
        <v>9.689438624369249</v>
      </c>
      <c r="P379" s="30">
        <f t="shared" si="35"/>
        <v>-4208.400000000023</v>
      </c>
    </row>
    <row r="380" spans="1:16" ht="12.75">
      <c r="A380" s="10">
        <v>37</v>
      </c>
      <c r="B380" s="5" t="s">
        <v>209</v>
      </c>
      <c r="C380" s="13">
        <v>3786.32</v>
      </c>
      <c r="D380" s="25"/>
      <c r="E380" s="38">
        <f t="shared" si="36"/>
        <v>350063.15</v>
      </c>
      <c r="F380" s="13">
        <v>350063.15</v>
      </c>
      <c r="G380" s="37"/>
      <c r="H380" s="26">
        <v>119561</v>
      </c>
      <c r="I380" s="25">
        <v>143231</v>
      </c>
      <c r="J380" s="46">
        <f t="shared" si="33"/>
        <v>262792</v>
      </c>
      <c r="K380" s="26">
        <v>305313</v>
      </c>
      <c r="L380" s="10">
        <v>20677</v>
      </c>
      <c r="M380" s="33">
        <v>2471</v>
      </c>
      <c r="N380" s="46">
        <f t="shared" si="34"/>
        <v>591253</v>
      </c>
      <c r="O380" s="50">
        <f t="shared" si="37"/>
        <v>13.012921077281723</v>
      </c>
      <c r="P380" s="30">
        <f t="shared" si="35"/>
        <v>-241189.84999999998</v>
      </c>
    </row>
    <row r="381" spans="1:16" ht="12.75">
      <c r="A381" s="10">
        <v>38</v>
      </c>
      <c r="B381" s="5" t="s">
        <v>210</v>
      </c>
      <c r="C381" s="13">
        <v>3739.54</v>
      </c>
      <c r="D381" s="25"/>
      <c r="E381" s="38">
        <f t="shared" si="36"/>
        <v>437373.69</v>
      </c>
      <c r="F381" s="13">
        <v>437373.69</v>
      </c>
      <c r="G381" s="37"/>
      <c r="H381" s="26">
        <v>118083</v>
      </c>
      <c r="I381" s="25">
        <v>140844</v>
      </c>
      <c r="J381" s="46">
        <f t="shared" si="33"/>
        <v>258927</v>
      </c>
      <c r="K381" s="26">
        <v>238496</v>
      </c>
      <c r="L381" s="10">
        <v>21529</v>
      </c>
      <c r="M381" s="33">
        <v>2440</v>
      </c>
      <c r="N381" s="46">
        <f t="shared" si="34"/>
        <v>521392</v>
      </c>
      <c r="O381" s="50">
        <f t="shared" si="37"/>
        <v>11.618897868008721</v>
      </c>
      <c r="P381" s="30">
        <f t="shared" si="35"/>
        <v>-84018.31</v>
      </c>
    </row>
    <row r="382" spans="1:16" ht="12.75">
      <c r="A382" s="10">
        <v>39</v>
      </c>
      <c r="B382" s="5" t="s">
        <v>211</v>
      </c>
      <c r="C382" s="13">
        <v>3624.69</v>
      </c>
      <c r="D382" s="25"/>
      <c r="E382" s="38">
        <f t="shared" si="36"/>
        <v>401858.92</v>
      </c>
      <c r="F382" s="13">
        <v>401858.92</v>
      </c>
      <c r="G382" s="37"/>
      <c r="H382" s="26">
        <v>114457</v>
      </c>
      <c r="I382" s="25">
        <v>125590</v>
      </c>
      <c r="J382" s="46">
        <f t="shared" si="33"/>
        <v>240047</v>
      </c>
      <c r="K382" s="26">
        <v>456655</v>
      </c>
      <c r="L382" s="10">
        <v>20372</v>
      </c>
      <c r="M382" s="33">
        <v>2365</v>
      </c>
      <c r="N382" s="46">
        <f t="shared" si="34"/>
        <v>719439</v>
      </c>
      <c r="O382" s="50">
        <f t="shared" si="37"/>
        <v>16.54024206207979</v>
      </c>
      <c r="P382" s="30">
        <f t="shared" si="35"/>
        <v>-317580.08</v>
      </c>
    </row>
    <row r="383" spans="1:16" ht="12.75">
      <c r="A383" s="10">
        <v>40</v>
      </c>
      <c r="B383" s="5" t="s">
        <v>212</v>
      </c>
      <c r="C383" s="13">
        <v>2517.57</v>
      </c>
      <c r="D383" s="25"/>
      <c r="E383" s="38">
        <f t="shared" si="36"/>
        <v>272855.6</v>
      </c>
      <c r="F383" s="13">
        <v>272855.6</v>
      </c>
      <c r="G383" s="37"/>
      <c r="H383" s="26">
        <v>79497</v>
      </c>
      <c r="I383" s="25">
        <v>91328</v>
      </c>
      <c r="J383" s="46">
        <f t="shared" si="33"/>
        <v>170825</v>
      </c>
      <c r="K383" s="26">
        <v>304128</v>
      </c>
      <c r="L383" s="10">
        <v>13739</v>
      </c>
      <c r="M383" s="33">
        <v>1642</v>
      </c>
      <c r="N383" s="46">
        <f t="shared" si="34"/>
        <v>490334</v>
      </c>
      <c r="O383" s="50">
        <f t="shared" si="37"/>
        <v>16.230399419546096</v>
      </c>
      <c r="P383" s="30">
        <f t="shared" si="35"/>
        <v>-217478.40000000002</v>
      </c>
    </row>
    <row r="384" spans="1:16" ht="12.75">
      <c r="A384" s="10">
        <v>41</v>
      </c>
      <c r="B384" s="5" t="s">
        <v>213</v>
      </c>
      <c r="C384" s="13">
        <v>3604.55</v>
      </c>
      <c r="D384" s="25"/>
      <c r="E384" s="38">
        <f t="shared" si="36"/>
        <v>32626.72</v>
      </c>
      <c r="F384" s="13">
        <v>32626.72</v>
      </c>
      <c r="G384" s="37"/>
      <c r="H384" s="26"/>
      <c r="I384" s="25"/>
      <c r="J384" s="46">
        <f t="shared" si="33"/>
        <v>0</v>
      </c>
      <c r="K384" s="26"/>
      <c r="L384" s="10"/>
      <c r="M384" s="33"/>
      <c r="N384" s="46">
        <f t="shared" si="34"/>
        <v>0</v>
      </c>
      <c r="O384" s="50">
        <f t="shared" si="37"/>
        <v>0</v>
      </c>
      <c r="P384" s="30">
        <f t="shared" si="35"/>
        <v>32626.72</v>
      </c>
    </row>
    <row r="385" spans="1:16" ht="12.75">
      <c r="A385" s="10">
        <v>42</v>
      </c>
      <c r="B385" s="5" t="s">
        <v>214</v>
      </c>
      <c r="C385" s="13">
        <v>690.44</v>
      </c>
      <c r="D385" s="25"/>
      <c r="E385" s="38">
        <f t="shared" si="36"/>
        <v>18765.61</v>
      </c>
      <c r="F385" s="13">
        <v>18765.61</v>
      </c>
      <c r="G385" s="37"/>
      <c r="H385" s="26">
        <v>5244</v>
      </c>
      <c r="I385" s="25">
        <v>6511</v>
      </c>
      <c r="J385" s="46">
        <f t="shared" si="33"/>
        <v>11755</v>
      </c>
      <c r="K385" s="26">
        <v>3783</v>
      </c>
      <c r="L385" s="10">
        <v>849</v>
      </c>
      <c r="M385" s="33">
        <v>44</v>
      </c>
      <c r="N385" s="46">
        <f t="shared" si="34"/>
        <v>16431</v>
      </c>
      <c r="O385" s="50">
        <f t="shared" si="37"/>
        <v>1.9831556688488499</v>
      </c>
      <c r="P385" s="30">
        <f t="shared" si="35"/>
        <v>2334.6100000000006</v>
      </c>
    </row>
    <row r="386" spans="1:16" ht="12.75">
      <c r="A386" s="10">
        <v>43</v>
      </c>
      <c r="B386" s="5" t="s">
        <v>215</v>
      </c>
      <c r="C386" s="13">
        <v>654.84</v>
      </c>
      <c r="D386" s="25"/>
      <c r="E386" s="38">
        <f t="shared" si="36"/>
        <v>88404.98</v>
      </c>
      <c r="F386" s="13">
        <v>88404.98</v>
      </c>
      <c r="G386" s="37"/>
      <c r="H386" s="26">
        <v>20678</v>
      </c>
      <c r="I386" s="25">
        <v>7276</v>
      </c>
      <c r="J386" s="46">
        <f t="shared" si="33"/>
        <v>27954</v>
      </c>
      <c r="K386" s="26">
        <v>19440</v>
      </c>
      <c r="L386" s="10">
        <v>3574</v>
      </c>
      <c r="M386" s="33">
        <v>427</v>
      </c>
      <c r="N386" s="46">
        <f t="shared" si="34"/>
        <v>51395</v>
      </c>
      <c r="O386" s="50">
        <f t="shared" si="37"/>
        <v>6.5404017266304235</v>
      </c>
      <c r="P386" s="30">
        <f t="shared" si="35"/>
        <v>37009.979999999996</v>
      </c>
    </row>
    <row r="387" spans="1:16" ht="12.75">
      <c r="A387" s="10">
        <v>44</v>
      </c>
      <c r="B387" s="5" t="s">
        <v>216</v>
      </c>
      <c r="C387" s="13">
        <v>1806.12</v>
      </c>
      <c r="D387" s="25"/>
      <c r="E387" s="38">
        <f t="shared" si="36"/>
        <v>224922.56</v>
      </c>
      <c r="F387" s="13">
        <v>224922.56</v>
      </c>
      <c r="G387" s="37"/>
      <c r="H387" s="26">
        <v>57032</v>
      </c>
      <c r="I387" s="25">
        <v>75051</v>
      </c>
      <c r="J387" s="46">
        <f t="shared" si="33"/>
        <v>132083</v>
      </c>
      <c r="K387" s="26">
        <v>97821</v>
      </c>
      <c r="L387" s="10">
        <v>9857</v>
      </c>
      <c r="M387" s="33">
        <v>1178</v>
      </c>
      <c r="N387" s="46">
        <f t="shared" si="34"/>
        <v>240939</v>
      </c>
      <c r="O387" s="50">
        <f t="shared" si="37"/>
        <v>11.116786260049167</v>
      </c>
      <c r="P387" s="30">
        <f t="shared" si="35"/>
        <v>-16016.440000000002</v>
      </c>
    </row>
    <row r="388" spans="1:16" ht="12.75">
      <c r="A388" s="10">
        <v>45</v>
      </c>
      <c r="B388" s="5" t="s">
        <v>217</v>
      </c>
      <c r="C388" s="13">
        <v>1493.57</v>
      </c>
      <c r="D388" s="25"/>
      <c r="E388" s="38">
        <f t="shared" si="36"/>
        <v>65341</v>
      </c>
      <c r="F388" s="13">
        <v>65341</v>
      </c>
      <c r="G388" s="37"/>
      <c r="H388" s="26">
        <v>11343</v>
      </c>
      <c r="I388" s="25">
        <v>16389</v>
      </c>
      <c r="J388" s="46">
        <f t="shared" si="33"/>
        <v>27732</v>
      </c>
      <c r="K388" s="26">
        <v>34066</v>
      </c>
      <c r="L388" s="10">
        <v>1837</v>
      </c>
      <c r="M388" s="33">
        <v>96</v>
      </c>
      <c r="N388" s="46">
        <f t="shared" si="34"/>
        <v>63731</v>
      </c>
      <c r="O388" s="50">
        <f t="shared" si="37"/>
        <v>3.555853871373064</v>
      </c>
      <c r="P388" s="30">
        <f t="shared" si="35"/>
        <v>1610</v>
      </c>
    </row>
    <row r="389" spans="1:16" ht="12.75">
      <c r="A389" s="10">
        <v>46</v>
      </c>
      <c r="B389" s="5" t="s">
        <v>449</v>
      </c>
      <c r="C389" s="10">
        <v>1999.99</v>
      </c>
      <c r="D389" s="25"/>
      <c r="E389" s="38">
        <f t="shared" si="36"/>
        <v>211741.5</v>
      </c>
      <c r="F389" s="13">
        <v>211741.5</v>
      </c>
      <c r="G389" s="37"/>
      <c r="H389" s="26">
        <v>63154</v>
      </c>
      <c r="I389" s="25">
        <v>71732</v>
      </c>
      <c r="J389" s="46">
        <f t="shared" si="33"/>
        <v>134886</v>
      </c>
      <c r="K389" s="26">
        <v>55824</v>
      </c>
      <c r="L389" s="10">
        <v>12235</v>
      </c>
      <c r="M389" s="73">
        <v>1305</v>
      </c>
      <c r="N389" s="46">
        <f t="shared" si="34"/>
        <v>204250</v>
      </c>
      <c r="O389" s="50">
        <f t="shared" si="37"/>
        <v>8.510459218962762</v>
      </c>
      <c r="P389" s="30">
        <f t="shared" si="35"/>
        <v>7491.5</v>
      </c>
    </row>
    <row r="390" spans="1:16" ht="13.5" thickBot="1">
      <c r="A390" s="23">
        <v>47</v>
      </c>
      <c r="B390" s="65" t="s">
        <v>527</v>
      </c>
      <c r="C390" s="23">
        <v>1443.12</v>
      </c>
      <c r="D390" s="66"/>
      <c r="E390" s="67">
        <f t="shared" si="36"/>
        <v>108779.7</v>
      </c>
      <c r="F390" s="68">
        <v>108779.7</v>
      </c>
      <c r="G390" s="69"/>
      <c r="H390" s="70">
        <v>34346</v>
      </c>
      <c r="I390" s="66">
        <v>23273</v>
      </c>
      <c r="J390" s="71">
        <f t="shared" si="33"/>
        <v>57619</v>
      </c>
      <c r="K390" s="72">
        <v>53077</v>
      </c>
      <c r="L390" s="66">
        <v>5033</v>
      </c>
      <c r="M390" s="23">
        <v>324</v>
      </c>
      <c r="N390" s="141">
        <f t="shared" si="34"/>
        <v>116053</v>
      </c>
      <c r="O390" s="75">
        <f t="shared" si="37"/>
        <v>6.701510153925754</v>
      </c>
      <c r="P390" s="76">
        <f t="shared" si="35"/>
        <v>-7273.300000000003</v>
      </c>
    </row>
    <row r="391" spans="1:16" ht="13.5" thickBot="1">
      <c r="A391" s="77"/>
      <c r="B391" s="78" t="s">
        <v>243</v>
      </c>
      <c r="C391" s="79">
        <f aca="true" t="shared" si="38" ref="C391:N391">SUM(C343:C390)</f>
        <v>158839.53000000003</v>
      </c>
      <c r="D391" s="80">
        <f t="shared" si="38"/>
        <v>0</v>
      </c>
      <c r="E391" s="81">
        <f t="shared" si="38"/>
        <v>16974286.009999998</v>
      </c>
      <c r="F391" s="82">
        <f t="shared" si="38"/>
        <v>16882272.069999997</v>
      </c>
      <c r="G391" s="83">
        <f t="shared" si="38"/>
        <v>92013.94000000002</v>
      </c>
      <c r="H391" s="84">
        <f t="shared" si="38"/>
        <v>4588742</v>
      </c>
      <c r="I391" s="85">
        <f t="shared" si="38"/>
        <v>5499050</v>
      </c>
      <c r="J391" s="86">
        <f t="shared" si="38"/>
        <v>10087792</v>
      </c>
      <c r="K391" s="84">
        <f t="shared" si="38"/>
        <v>11986344</v>
      </c>
      <c r="L391" s="85">
        <f t="shared" si="38"/>
        <v>822768</v>
      </c>
      <c r="M391" s="142">
        <f t="shared" si="38"/>
        <v>99020</v>
      </c>
      <c r="N391" s="86">
        <f t="shared" si="38"/>
        <v>22995924</v>
      </c>
      <c r="O391" s="139">
        <f t="shared" si="37"/>
        <v>12.064547156491836</v>
      </c>
      <c r="P391" s="140">
        <f t="shared" si="35"/>
        <v>-6021637.990000002</v>
      </c>
    </row>
    <row r="392" ht="12.75">
      <c r="H392" s="90"/>
    </row>
    <row r="393" spans="3:12" ht="12.75">
      <c r="C393" s="62" t="s">
        <v>580</v>
      </c>
      <c r="D393" s="62"/>
      <c r="E393" s="62"/>
      <c r="F393" s="62"/>
      <c r="G393" s="62"/>
      <c r="H393" s="143"/>
      <c r="I393" s="144"/>
      <c r="J393" s="62"/>
      <c r="K393" s="62" t="s">
        <v>245</v>
      </c>
      <c r="L393" s="62"/>
    </row>
    <row r="394" spans="3:12" ht="12.75">
      <c r="C394" s="62" t="s">
        <v>581</v>
      </c>
      <c r="D394" s="62"/>
      <c r="E394" s="62"/>
      <c r="F394" s="62"/>
      <c r="G394" s="62"/>
      <c r="H394" s="62"/>
      <c r="I394" s="62"/>
      <c r="J394" s="62"/>
      <c r="K394" s="62" t="s">
        <v>582</v>
      </c>
      <c r="L394" s="62"/>
    </row>
    <row r="395" spans="3:12" ht="12.75">
      <c r="C395" s="62" t="s">
        <v>246</v>
      </c>
      <c r="D395" s="62"/>
      <c r="E395" s="62"/>
      <c r="F395" s="62"/>
      <c r="G395" s="62"/>
      <c r="H395" s="62"/>
      <c r="I395" s="62"/>
      <c r="J395" s="62"/>
      <c r="K395" s="62" t="s">
        <v>247</v>
      </c>
      <c r="L395" s="62"/>
    </row>
    <row r="422" spans="1:16" ht="12.75">
      <c r="A422" s="29"/>
      <c r="B422" s="29"/>
      <c r="C422" s="29"/>
      <c r="D422" s="62" t="s">
        <v>222</v>
      </c>
      <c r="E422" s="62"/>
      <c r="F422" s="62"/>
      <c r="G422" s="62"/>
      <c r="H422" s="62"/>
      <c r="I422" s="62"/>
      <c r="J422" s="62"/>
      <c r="K422" s="62"/>
      <c r="L422" s="29"/>
      <c r="M422" s="29"/>
      <c r="N422" s="29"/>
      <c r="O422" s="29"/>
      <c r="P422" s="29"/>
    </row>
    <row r="423" spans="1:16" ht="13.5" thickBot="1">
      <c r="A423" s="29"/>
      <c r="B423" s="29"/>
      <c r="C423" s="29"/>
      <c r="D423" s="62"/>
      <c r="E423" s="62"/>
      <c r="F423" s="62"/>
      <c r="G423" s="62"/>
      <c r="H423" s="62"/>
      <c r="I423" s="62"/>
      <c r="J423" s="62" t="s">
        <v>526</v>
      </c>
      <c r="K423" s="62"/>
      <c r="L423" s="29"/>
      <c r="M423" s="29"/>
      <c r="N423" s="29"/>
      <c r="O423" s="29"/>
      <c r="P423" s="29"/>
    </row>
    <row r="424" spans="1:16" ht="27" customHeight="1">
      <c r="A424" s="198" t="s">
        <v>0</v>
      </c>
      <c r="B424" s="201" t="s">
        <v>167</v>
      </c>
      <c r="C424" s="188" t="s">
        <v>165</v>
      </c>
      <c r="D424" s="145"/>
      <c r="E424" s="183" t="s">
        <v>565</v>
      </c>
      <c r="F424" s="184"/>
      <c r="G424" s="185"/>
      <c r="H424" s="186" t="s">
        <v>221</v>
      </c>
      <c r="I424" s="186"/>
      <c r="J424" s="186"/>
      <c r="K424" s="186"/>
      <c r="L424" s="186"/>
      <c r="M424" s="186"/>
      <c r="N424" s="186"/>
      <c r="O424" s="187"/>
      <c r="P424" s="188" t="s">
        <v>172</v>
      </c>
    </row>
    <row r="425" spans="1:16" ht="13.5" thickBot="1">
      <c r="A425" s="199"/>
      <c r="B425" s="202"/>
      <c r="C425" s="189"/>
      <c r="D425" s="146"/>
      <c r="E425" s="191" t="s">
        <v>169</v>
      </c>
      <c r="F425" s="193" t="s">
        <v>163</v>
      </c>
      <c r="G425" s="194"/>
      <c r="H425" s="195" t="s">
        <v>166</v>
      </c>
      <c r="I425" s="195"/>
      <c r="J425" s="196"/>
      <c r="K425" s="195"/>
      <c r="L425" s="195"/>
      <c r="M425" s="195"/>
      <c r="N425" s="196"/>
      <c r="O425" s="197"/>
      <c r="P425" s="189"/>
    </row>
    <row r="426" spans="1:16" ht="78.75">
      <c r="A426" s="200"/>
      <c r="B426" s="170"/>
      <c r="C426" s="190"/>
      <c r="D426" s="147"/>
      <c r="E426" s="192"/>
      <c r="F426" s="6" t="s">
        <v>164</v>
      </c>
      <c r="G426" s="35"/>
      <c r="H426" s="28" t="s">
        <v>158</v>
      </c>
      <c r="I426" s="27" t="s">
        <v>159</v>
      </c>
      <c r="J426" s="45" t="s">
        <v>168</v>
      </c>
      <c r="K426" s="28" t="s">
        <v>160</v>
      </c>
      <c r="L426" s="6" t="s">
        <v>161</v>
      </c>
      <c r="M426" s="25" t="s">
        <v>162</v>
      </c>
      <c r="N426" s="52" t="s">
        <v>170</v>
      </c>
      <c r="O426" s="28" t="s">
        <v>171</v>
      </c>
      <c r="P426" s="190"/>
    </row>
    <row r="427" spans="1:16" ht="12.75">
      <c r="A427" s="10">
        <v>1</v>
      </c>
      <c r="B427" s="10">
        <v>2</v>
      </c>
      <c r="C427" s="10">
        <v>3</v>
      </c>
      <c r="D427" s="31"/>
      <c r="E427" s="36">
        <v>4</v>
      </c>
      <c r="F427" s="10">
        <v>5</v>
      </c>
      <c r="G427" s="37">
        <v>6</v>
      </c>
      <c r="H427" s="26">
        <v>7</v>
      </c>
      <c r="I427" s="25">
        <v>8</v>
      </c>
      <c r="J427" s="46">
        <v>9</v>
      </c>
      <c r="K427" s="26">
        <v>10</v>
      </c>
      <c r="L427" s="10">
        <v>11</v>
      </c>
      <c r="M427" s="25">
        <v>12</v>
      </c>
      <c r="N427" s="46">
        <v>13</v>
      </c>
      <c r="O427" s="26">
        <v>14</v>
      </c>
      <c r="P427" s="10">
        <v>15</v>
      </c>
    </row>
    <row r="428" spans="1:16" ht="12.75">
      <c r="A428" s="10">
        <v>1</v>
      </c>
      <c r="B428" s="5" t="s">
        <v>173</v>
      </c>
      <c r="C428" s="13">
        <v>4595.66</v>
      </c>
      <c r="D428" s="25"/>
      <c r="E428" s="38">
        <f>F428+G428</f>
        <v>72872.81</v>
      </c>
      <c r="F428" s="59">
        <v>72872.81</v>
      </c>
      <c r="G428" s="37"/>
      <c r="H428" s="26">
        <v>0</v>
      </c>
      <c r="I428" s="25">
        <v>17931</v>
      </c>
      <c r="J428" s="46">
        <f>H428+I428</f>
        <v>17931</v>
      </c>
      <c r="K428" s="26">
        <v>17881</v>
      </c>
      <c r="L428" s="10">
        <v>5653</v>
      </c>
      <c r="M428" s="33">
        <v>296</v>
      </c>
      <c r="N428" s="46">
        <f>J428+K428+L428+M428</f>
        <v>41761</v>
      </c>
      <c r="O428" s="50">
        <f>N428/C428/3</f>
        <v>3.0290172322002356</v>
      </c>
      <c r="P428" s="30">
        <f>E428-N428</f>
        <v>31111.809999999998</v>
      </c>
    </row>
    <row r="429" spans="1:16" ht="12.75">
      <c r="A429" s="10">
        <v>2</v>
      </c>
      <c r="B429" s="5" t="s">
        <v>174</v>
      </c>
      <c r="C429" s="13">
        <v>2974.92</v>
      </c>
      <c r="D429" s="25"/>
      <c r="E429" s="38">
        <f>F429+G429</f>
        <v>419903.73</v>
      </c>
      <c r="F429" s="13">
        <v>419903.73</v>
      </c>
      <c r="G429" s="37"/>
      <c r="H429" s="26">
        <v>93939</v>
      </c>
      <c r="I429" s="25">
        <v>128420</v>
      </c>
      <c r="J429" s="46">
        <f aca="true" t="shared" si="39" ref="J429:J475">H429+I429</f>
        <v>222359</v>
      </c>
      <c r="K429" s="26">
        <v>208982</v>
      </c>
      <c r="L429" s="10">
        <v>16235</v>
      </c>
      <c r="M429" s="33">
        <v>1941</v>
      </c>
      <c r="N429" s="46">
        <f aca="true" t="shared" si="40" ref="N429:N475">J429+K429+L429+M429</f>
        <v>449517</v>
      </c>
      <c r="O429" s="50">
        <f>N429/C429/12</f>
        <v>12.591851209444288</v>
      </c>
      <c r="P429" s="30">
        <f aca="true" t="shared" si="41" ref="P429:P476">E429-N429</f>
        <v>-29613.27000000002</v>
      </c>
    </row>
    <row r="430" spans="1:16" ht="12.75">
      <c r="A430" s="10">
        <v>3</v>
      </c>
      <c r="B430" s="5" t="s">
        <v>175</v>
      </c>
      <c r="C430" s="13">
        <v>7057.96</v>
      </c>
      <c r="D430" s="25"/>
      <c r="E430" s="38">
        <f aca="true" t="shared" si="42" ref="E430:E475">F430+G430</f>
        <v>918024.17</v>
      </c>
      <c r="F430" s="13">
        <v>918024.17</v>
      </c>
      <c r="G430" s="37"/>
      <c r="H430" s="26">
        <v>197802</v>
      </c>
      <c r="I430" s="25">
        <v>267550</v>
      </c>
      <c r="J430" s="46">
        <f t="shared" si="39"/>
        <v>465352</v>
      </c>
      <c r="K430" s="26">
        <v>373624</v>
      </c>
      <c r="L430" s="10">
        <v>48519</v>
      </c>
      <c r="M430" s="33">
        <v>4606</v>
      </c>
      <c r="N430" s="46">
        <f t="shared" si="40"/>
        <v>892101</v>
      </c>
      <c r="O430" s="50">
        <f aca="true" t="shared" si="43" ref="O430:O460">N430/C430/12</f>
        <v>10.53303645812671</v>
      </c>
      <c r="P430" s="30">
        <f t="shared" si="41"/>
        <v>25923.170000000042</v>
      </c>
    </row>
    <row r="431" spans="1:16" ht="12.75">
      <c r="A431" s="10">
        <v>4</v>
      </c>
      <c r="B431" s="5" t="s">
        <v>176</v>
      </c>
      <c r="C431" s="13">
        <v>1879.75</v>
      </c>
      <c r="D431" s="25"/>
      <c r="E431" s="38">
        <f t="shared" si="42"/>
        <v>243802.3</v>
      </c>
      <c r="F431" s="13">
        <v>243802.3</v>
      </c>
      <c r="G431" s="37"/>
      <c r="H431" s="26">
        <v>59338</v>
      </c>
      <c r="I431" s="25">
        <v>78326</v>
      </c>
      <c r="J431" s="46">
        <f t="shared" si="39"/>
        <v>137664</v>
      </c>
      <c r="K431" s="26">
        <v>74395</v>
      </c>
      <c r="L431" s="10">
        <v>9961</v>
      </c>
      <c r="M431" s="33">
        <v>1226</v>
      </c>
      <c r="N431" s="46">
        <f t="shared" si="40"/>
        <v>223246</v>
      </c>
      <c r="O431" s="50">
        <f t="shared" si="43"/>
        <v>9.896972115086227</v>
      </c>
      <c r="P431" s="30">
        <f t="shared" si="41"/>
        <v>20556.29999999999</v>
      </c>
    </row>
    <row r="432" spans="1:16" ht="12.75">
      <c r="A432" s="10">
        <v>5</v>
      </c>
      <c r="B432" s="5" t="s">
        <v>177</v>
      </c>
      <c r="C432" s="13">
        <v>4438.99</v>
      </c>
      <c r="D432" s="25"/>
      <c r="E432" s="38">
        <f t="shared" si="42"/>
        <v>626123.78</v>
      </c>
      <c r="F432" s="13">
        <v>626123.78</v>
      </c>
      <c r="G432" s="37"/>
      <c r="H432" s="26">
        <v>140170</v>
      </c>
      <c r="I432" s="25">
        <v>160241</v>
      </c>
      <c r="J432" s="46">
        <f t="shared" si="39"/>
        <v>300411</v>
      </c>
      <c r="K432" s="26">
        <v>310882</v>
      </c>
      <c r="L432" s="10">
        <v>24225</v>
      </c>
      <c r="M432" s="33">
        <v>2897</v>
      </c>
      <c r="N432" s="46">
        <f t="shared" si="40"/>
        <v>638415</v>
      </c>
      <c r="O432" s="50">
        <f t="shared" si="43"/>
        <v>11.984989828767356</v>
      </c>
      <c r="P432" s="30">
        <f t="shared" si="41"/>
        <v>-12291.219999999972</v>
      </c>
    </row>
    <row r="433" spans="1:16" ht="12.75">
      <c r="A433" s="10">
        <v>6</v>
      </c>
      <c r="B433" s="5" t="s">
        <v>178</v>
      </c>
      <c r="C433" s="13">
        <v>7001.3</v>
      </c>
      <c r="D433" s="25"/>
      <c r="E433" s="38">
        <f t="shared" si="42"/>
        <v>880377.45</v>
      </c>
      <c r="F433" s="13">
        <v>880377.45</v>
      </c>
      <c r="G433" s="37"/>
      <c r="H433" s="26">
        <v>195993</v>
      </c>
      <c r="I433" s="25">
        <v>274861</v>
      </c>
      <c r="J433" s="46">
        <f t="shared" si="39"/>
        <v>470854</v>
      </c>
      <c r="K433" s="26">
        <v>429323</v>
      </c>
      <c r="L433" s="10">
        <v>38209</v>
      </c>
      <c r="M433" s="33">
        <v>8627</v>
      </c>
      <c r="N433" s="46">
        <f t="shared" si="40"/>
        <v>947013</v>
      </c>
      <c r="O433" s="50">
        <f t="shared" si="43"/>
        <v>11.271870938254324</v>
      </c>
      <c r="P433" s="30">
        <f t="shared" si="41"/>
        <v>-66635.55000000005</v>
      </c>
    </row>
    <row r="434" spans="1:16" ht="12.75">
      <c r="A434" s="10">
        <v>7</v>
      </c>
      <c r="B434" s="5" t="s">
        <v>179</v>
      </c>
      <c r="C434" s="13">
        <v>3606.62</v>
      </c>
      <c r="D434" s="25"/>
      <c r="E434" s="38">
        <f t="shared" si="42"/>
        <v>407502.7</v>
      </c>
      <c r="F434" s="13">
        <v>407502.7</v>
      </c>
      <c r="G434" s="37"/>
      <c r="H434" s="26">
        <v>113886</v>
      </c>
      <c r="I434" s="25">
        <v>134283</v>
      </c>
      <c r="J434" s="46">
        <f t="shared" si="39"/>
        <v>248169</v>
      </c>
      <c r="K434" s="26">
        <v>673930</v>
      </c>
      <c r="L434" s="10">
        <v>19683</v>
      </c>
      <c r="M434" s="33">
        <v>2354</v>
      </c>
      <c r="N434" s="46">
        <f t="shared" si="40"/>
        <v>944136</v>
      </c>
      <c r="O434" s="50">
        <f t="shared" si="43"/>
        <v>21.814884850635778</v>
      </c>
      <c r="P434" s="30">
        <f t="shared" si="41"/>
        <v>-536633.3</v>
      </c>
    </row>
    <row r="435" spans="1:16" ht="12.75">
      <c r="A435" s="10">
        <v>8</v>
      </c>
      <c r="B435" s="5" t="s">
        <v>180</v>
      </c>
      <c r="C435" s="13">
        <v>3594.55</v>
      </c>
      <c r="D435" s="25"/>
      <c r="E435" s="38">
        <f t="shared" si="42"/>
        <v>398709.25</v>
      </c>
      <c r="F435" s="13">
        <v>398709.25</v>
      </c>
      <c r="G435" s="37"/>
      <c r="H435" s="26">
        <v>113505</v>
      </c>
      <c r="I435" s="25">
        <v>133755</v>
      </c>
      <c r="J435" s="46">
        <f t="shared" si="39"/>
        <v>247260</v>
      </c>
      <c r="K435" s="26">
        <v>189327</v>
      </c>
      <c r="L435" s="10">
        <v>21949</v>
      </c>
      <c r="M435" s="33">
        <v>2345</v>
      </c>
      <c r="N435" s="46">
        <f t="shared" si="40"/>
        <v>460881</v>
      </c>
      <c r="O435" s="50">
        <f t="shared" si="43"/>
        <v>10.684717141227692</v>
      </c>
      <c r="P435" s="30">
        <f t="shared" si="41"/>
        <v>-62171.75</v>
      </c>
    </row>
    <row r="436" spans="1:16" ht="12.75">
      <c r="A436" s="10">
        <v>9</v>
      </c>
      <c r="B436" s="5" t="s">
        <v>181</v>
      </c>
      <c r="C436" s="13">
        <v>3239.7</v>
      </c>
      <c r="D436" s="25"/>
      <c r="E436" s="38">
        <f t="shared" si="42"/>
        <v>214176.15</v>
      </c>
      <c r="F436" s="13">
        <v>214176.15</v>
      </c>
      <c r="G436" s="37"/>
      <c r="H436" s="26">
        <v>49330</v>
      </c>
      <c r="I436" s="25">
        <v>63887</v>
      </c>
      <c r="J436" s="46">
        <f t="shared" si="39"/>
        <v>113217</v>
      </c>
      <c r="K436" s="26">
        <v>111371</v>
      </c>
      <c r="L436" s="61">
        <v>8585</v>
      </c>
      <c r="M436" s="33">
        <v>389</v>
      </c>
      <c r="N436" s="46">
        <f t="shared" si="40"/>
        <v>233562</v>
      </c>
      <c r="O436" s="50">
        <f t="shared" si="43"/>
        <v>6.0078093650646665</v>
      </c>
      <c r="P436" s="30">
        <f t="shared" si="41"/>
        <v>-19385.850000000006</v>
      </c>
    </row>
    <row r="437" spans="1:16" ht="12.75">
      <c r="A437" s="10">
        <v>10</v>
      </c>
      <c r="B437" s="5" t="s">
        <v>182</v>
      </c>
      <c r="C437" s="13">
        <v>3613.83</v>
      </c>
      <c r="D437" s="25"/>
      <c r="E437" s="38">
        <f t="shared" si="42"/>
        <v>459333.04</v>
      </c>
      <c r="F437" s="13">
        <v>459333.04</v>
      </c>
      <c r="G437" s="37"/>
      <c r="H437" s="26">
        <v>114114</v>
      </c>
      <c r="I437" s="25">
        <v>146567</v>
      </c>
      <c r="J437" s="46">
        <f t="shared" si="39"/>
        <v>260681</v>
      </c>
      <c r="K437" s="26">
        <v>561959</v>
      </c>
      <c r="L437" s="10">
        <v>19722</v>
      </c>
      <c r="M437" s="33">
        <v>2358</v>
      </c>
      <c r="N437" s="46">
        <f t="shared" si="40"/>
        <v>844720</v>
      </c>
      <c r="O437" s="50">
        <f t="shared" si="43"/>
        <v>19.47887236901939</v>
      </c>
      <c r="P437" s="30">
        <f t="shared" si="41"/>
        <v>-385386.96</v>
      </c>
    </row>
    <row r="438" spans="1:16" ht="12.75">
      <c r="A438" s="10">
        <v>11</v>
      </c>
      <c r="B438" s="5" t="s">
        <v>183</v>
      </c>
      <c r="C438" s="13">
        <v>3614.21</v>
      </c>
      <c r="D438" s="25"/>
      <c r="E438" s="38">
        <f t="shared" si="42"/>
        <v>374225.13</v>
      </c>
      <c r="F438" s="13">
        <v>374225.13</v>
      </c>
      <c r="G438" s="37"/>
      <c r="H438" s="26">
        <v>114126</v>
      </c>
      <c r="I438" s="25">
        <v>130873</v>
      </c>
      <c r="J438" s="46">
        <f t="shared" si="39"/>
        <v>244999</v>
      </c>
      <c r="K438" s="26">
        <v>280590</v>
      </c>
      <c r="L438" s="10">
        <v>19724</v>
      </c>
      <c r="M438" s="33">
        <v>2358</v>
      </c>
      <c r="N438" s="46">
        <f t="shared" si="40"/>
        <v>547671</v>
      </c>
      <c r="O438" s="50">
        <f t="shared" si="43"/>
        <v>12.627725007678025</v>
      </c>
      <c r="P438" s="30">
        <f t="shared" si="41"/>
        <v>-173445.87</v>
      </c>
    </row>
    <row r="439" spans="1:16" ht="12.75">
      <c r="A439" s="10">
        <v>12</v>
      </c>
      <c r="B439" s="5" t="s">
        <v>184</v>
      </c>
      <c r="C439" s="13">
        <v>3644.1</v>
      </c>
      <c r="D439" s="25"/>
      <c r="E439" s="38">
        <f t="shared" si="42"/>
        <v>411612.66</v>
      </c>
      <c r="F439" s="13">
        <v>411612.66</v>
      </c>
      <c r="G439" s="37"/>
      <c r="H439" s="26">
        <v>115070</v>
      </c>
      <c r="I439" s="25">
        <v>137890</v>
      </c>
      <c r="J439" s="46">
        <f t="shared" si="39"/>
        <v>252960</v>
      </c>
      <c r="K439" s="26">
        <v>275151</v>
      </c>
      <c r="L439" s="10">
        <v>19887</v>
      </c>
      <c r="M439" s="33">
        <v>2378</v>
      </c>
      <c r="N439" s="46">
        <f t="shared" si="40"/>
        <v>550376</v>
      </c>
      <c r="O439" s="50">
        <f t="shared" si="43"/>
        <v>12.586006604282723</v>
      </c>
      <c r="P439" s="30">
        <f t="shared" si="41"/>
        <v>-138763.34000000003</v>
      </c>
    </row>
    <row r="440" spans="1:16" ht="12.75">
      <c r="A440" s="10">
        <v>13</v>
      </c>
      <c r="B440" s="5" t="s">
        <v>185</v>
      </c>
      <c r="C440" s="13">
        <v>3605.33</v>
      </c>
      <c r="D440" s="33"/>
      <c r="E440" s="38">
        <f t="shared" si="42"/>
        <v>418262.91</v>
      </c>
      <c r="F440" s="13">
        <v>418262.91</v>
      </c>
      <c r="G440" s="37"/>
      <c r="H440" s="26">
        <v>113845</v>
      </c>
      <c r="I440" s="25">
        <v>136734</v>
      </c>
      <c r="J440" s="46">
        <f t="shared" si="39"/>
        <v>250579</v>
      </c>
      <c r="K440" s="26">
        <v>206334</v>
      </c>
      <c r="L440" s="10">
        <v>19676</v>
      </c>
      <c r="M440" s="33">
        <v>2353</v>
      </c>
      <c r="N440" s="46">
        <f t="shared" si="40"/>
        <v>478942</v>
      </c>
      <c r="O440" s="50">
        <f t="shared" si="43"/>
        <v>11.070230279428882</v>
      </c>
      <c r="P440" s="30">
        <f t="shared" si="41"/>
        <v>-60679.090000000026</v>
      </c>
    </row>
    <row r="441" spans="1:16" ht="12.75">
      <c r="A441" s="10">
        <v>14</v>
      </c>
      <c r="B441" s="5" t="s">
        <v>186</v>
      </c>
      <c r="C441" s="13">
        <v>1849.2</v>
      </c>
      <c r="D441" s="25"/>
      <c r="E441" s="38">
        <f t="shared" si="42"/>
        <v>121107.82</v>
      </c>
      <c r="F441" s="13">
        <v>121107.82</v>
      </c>
      <c r="G441" s="37"/>
      <c r="H441" s="26">
        <v>58392</v>
      </c>
      <c r="I441" s="25">
        <v>103940</v>
      </c>
      <c r="J441" s="46">
        <f t="shared" si="39"/>
        <v>162332</v>
      </c>
      <c r="K441" s="26">
        <v>58569</v>
      </c>
      <c r="L441" s="10">
        <v>10092</v>
      </c>
      <c r="M441" s="33">
        <v>1206</v>
      </c>
      <c r="N441" s="46">
        <f t="shared" si="40"/>
        <v>232199</v>
      </c>
      <c r="O441" s="50">
        <f t="shared" si="43"/>
        <v>10.463939361165188</v>
      </c>
      <c r="P441" s="30">
        <f t="shared" si="41"/>
        <v>-111091.18</v>
      </c>
    </row>
    <row r="442" spans="1:16" ht="12.75">
      <c r="A442" s="10">
        <v>15</v>
      </c>
      <c r="B442" s="5" t="s">
        <v>187</v>
      </c>
      <c r="C442" s="13">
        <v>3604.48</v>
      </c>
      <c r="D442" s="25"/>
      <c r="E442" s="38">
        <f t="shared" si="42"/>
        <v>395356.23</v>
      </c>
      <c r="F442" s="13">
        <v>395356.23</v>
      </c>
      <c r="G442" s="37"/>
      <c r="H442" s="26">
        <v>113819</v>
      </c>
      <c r="I442" s="25">
        <v>131338</v>
      </c>
      <c r="J442" s="46">
        <f t="shared" si="39"/>
        <v>245157</v>
      </c>
      <c r="K442" s="26">
        <v>262039</v>
      </c>
      <c r="L442" s="10">
        <v>20432</v>
      </c>
      <c r="M442" s="33">
        <v>2352</v>
      </c>
      <c r="N442" s="46">
        <f t="shared" si="40"/>
        <v>529980</v>
      </c>
      <c r="O442" s="50">
        <f t="shared" si="43"/>
        <v>12.2528076171875</v>
      </c>
      <c r="P442" s="30">
        <f t="shared" si="41"/>
        <v>-134623.77000000002</v>
      </c>
    </row>
    <row r="443" spans="1:16" ht="12.75">
      <c r="A443" s="10">
        <v>16</v>
      </c>
      <c r="B443" s="5" t="s">
        <v>188</v>
      </c>
      <c r="C443" s="13">
        <v>3618.73</v>
      </c>
      <c r="D443" s="25"/>
      <c r="E443" s="38">
        <f t="shared" si="42"/>
        <v>417207.06</v>
      </c>
      <c r="F443" s="13">
        <v>417207.06</v>
      </c>
      <c r="G443" s="37"/>
      <c r="H443" s="26">
        <v>114269</v>
      </c>
      <c r="I443" s="25">
        <v>141674</v>
      </c>
      <c r="J443" s="46">
        <f t="shared" si="39"/>
        <v>255943</v>
      </c>
      <c r="K443" s="26">
        <v>240095</v>
      </c>
      <c r="L443" s="10">
        <v>19860</v>
      </c>
      <c r="M443" s="33">
        <v>2361</v>
      </c>
      <c r="N443" s="46">
        <f t="shared" si="40"/>
        <v>518259</v>
      </c>
      <c r="O443" s="50">
        <f t="shared" si="43"/>
        <v>11.93464281667878</v>
      </c>
      <c r="P443" s="30">
        <f t="shared" si="41"/>
        <v>-101051.94</v>
      </c>
    </row>
    <row r="444" spans="1:16" ht="12.75">
      <c r="A444" s="10">
        <v>17</v>
      </c>
      <c r="B444" s="5" t="s">
        <v>189</v>
      </c>
      <c r="C444" s="13">
        <v>3887.7</v>
      </c>
      <c r="D444" s="25"/>
      <c r="E444" s="38">
        <f t="shared" si="42"/>
        <v>520811.14</v>
      </c>
      <c r="F444" s="13">
        <v>520811.14</v>
      </c>
      <c r="G444" s="37"/>
      <c r="H444" s="26">
        <v>122762</v>
      </c>
      <c r="I444" s="25">
        <v>132862</v>
      </c>
      <c r="J444" s="46">
        <f t="shared" si="39"/>
        <v>255624</v>
      </c>
      <c r="K444" s="26">
        <v>438383</v>
      </c>
      <c r="L444" s="10">
        <v>21217</v>
      </c>
      <c r="M444" s="33">
        <v>2536</v>
      </c>
      <c r="N444" s="46">
        <f t="shared" si="40"/>
        <v>717760</v>
      </c>
      <c r="O444" s="50">
        <f t="shared" si="43"/>
        <v>15.385274926906227</v>
      </c>
      <c r="P444" s="30">
        <f t="shared" si="41"/>
        <v>-196948.86</v>
      </c>
    </row>
    <row r="445" spans="1:16" ht="12.75">
      <c r="A445" s="10">
        <v>18</v>
      </c>
      <c r="B445" s="5" t="s">
        <v>190</v>
      </c>
      <c r="C445" s="13">
        <v>3615.45</v>
      </c>
      <c r="D445" s="25"/>
      <c r="E445" s="38">
        <f t="shared" si="42"/>
        <v>387297.7</v>
      </c>
      <c r="F445" s="10">
        <v>387297.7</v>
      </c>
      <c r="G445" s="37"/>
      <c r="H445" s="26">
        <v>114165</v>
      </c>
      <c r="I445" s="25">
        <v>131216</v>
      </c>
      <c r="J445" s="46">
        <f t="shared" si="39"/>
        <v>245381</v>
      </c>
      <c r="K445" s="26">
        <v>572415</v>
      </c>
      <c r="L445" s="10">
        <v>20901</v>
      </c>
      <c r="M445" s="33">
        <v>2359</v>
      </c>
      <c r="N445" s="46">
        <f t="shared" si="40"/>
        <v>841056</v>
      </c>
      <c r="O445" s="50">
        <f t="shared" si="43"/>
        <v>19.38569196089007</v>
      </c>
      <c r="P445" s="30">
        <f t="shared" si="41"/>
        <v>-453758.3</v>
      </c>
    </row>
    <row r="446" spans="1:16" ht="12.75">
      <c r="A446" s="10">
        <v>19</v>
      </c>
      <c r="B446" s="5" t="s">
        <v>191</v>
      </c>
      <c r="C446" s="13">
        <v>2678.39</v>
      </c>
      <c r="D446" s="25"/>
      <c r="E446" s="38">
        <f t="shared" si="42"/>
        <v>313802.25</v>
      </c>
      <c r="F446" s="13">
        <v>313802.25</v>
      </c>
      <c r="G446" s="37"/>
      <c r="H446" s="26">
        <v>84575</v>
      </c>
      <c r="I446" s="25">
        <v>109415</v>
      </c>
      <c r="J446" s="46">
        <f t="shared" si="39"/>
        <v>193990</v>
      </c>
      <c r="K446" s="26">
        <v>245499</v>
      </c>
      <c r="L446" s="10">
        <v>14617</v>
      </c>
      <c r="M446" s="33">
        <v>1747</v>
      </c>
      <c r="N446" s="46">
        <f t="shared" si="40"/>
        <v>455853</v>
      </c>
      <c r="O446" s="50">
        <f t="shared" si="43"/>
        <v>14.183053998857524</v>
      </c>
      <c r="P446" s="30">
        <f t="shared" si="41"/>
        <v>-142050.75</v>
      </c>
    </row>
    <row r="447" spans="1:16" ht="12.75">
      <c r="A447" s="10">
        <v>20</v>
      </c>
      <c r="B447" s="5" t="s">
        <v>192</v>
      </c>
      <c r="C447" s="13">
        <v>3614.83</v>
      </c>
      <c r="D447" s="25"/>
      <c r="E447" s="38">
        <f t="shared" si="42"/>
        <v>308556.24</v>
      </c>
      <c r="F447" s="13">
        <v>308556.24</v>
      </c>
      <c r="G447" s="37"/>
      <c r="H447" s="26">
        <v>114145</v>
      </c>
      <c r="I447" s="25">
        <v>122579</v>
      </c>
      <c r="J447" s="46">
        <f t="shared" si="39"/>
        <v>236724</v>
      </c>
      <c r="K447" s="26">
        <v>232649</v>
      </c>
      <c r="L447" s="10">
        <v>18879</v>
      </c>
      <c r="M447" s="33">
        <v>2359</v>
      </c>
      <c r="N447" s="46">
        <f t="shared" si="40"/>
        <v>490611</v>
      </c>
      <c r="O447" s="50">
        <f t="shared" si="43"/>
        <v>11.310144598777812</v>
      </c>
      <c r="P447" s="30">
        <f t="shared" si="41"/>
        <v>-182054.76</v>
      </c>
    </row>
    <row r="448" spans="1:16" ht="12.75">
      <c r="A448" s="10">
        <v>21</v>
      </c>
      <c r="B448" s="5" t="s">
        <v>193</v>
      </c>
      <c r="C448" s="13">
        <v>3608.85</v>
      </c>
      <c r="D448" s="25"/>
      <c r="E448" s="38">
        <f t="shared" si="42"/>
        <v>404531.42</v>
      </c>
      <c r="F448" s="13">
        <v>404531.42</v>
      </c>
      <c r="G448" s="37"/>
      <c r="H448" s="26">
        <v>113957</v>
      </c>
      <c r="I448" s="25">
        <v>128777</v>
      </c>
      <c r="J448" s="46">
        <f t="shared" si="39"/>
        <v>242734</v>
      </c>
      <c r="K448" s="26">
        <v>360180</v>
      </c>
      <c r="L448" s="10">
        <v>19695</v>
      </c>
      <c r="M448" s="33">
        <v>2355</v>
      </c>
      <c r="N448" s="46">
        <f t="shared" si="40"/>
        <v>624964</v>
      </c>
      <c r="O448" s="50">
        <f t="shared" si="43"/>
        <v>14.431282356798796</v>
      </c>
      <c r="P448" s="30">
        <f t="shared" si="41"/>
        <v>-220432.58000000002</v>
      </c>
    </row>
    <row r="449" spans="1:16" ht="12.75">
      <c r="A449" s="10">
        <v>22</v>
      </c>
      <c r="B449" s="5" t="s">
        <v>194</v>
      </c>
      <c r="C449" s="13">
        <v>3608.24</v>
      </c>
      <c r="D449" s="25"/>
      <c r="E449" s="38">
        <f t="shared" si="42"/>
        <v>380142.95</v>
      </c>
      <c r="F449" s="13">
        <v>380142.95</v>
      </c>
      <c r="G449" s="37"/>
      <c r="H449" s="26">
        <v>113937</v>
      </c>
      <c r="I449" s="25">
        <v>125862</v>
      </c>
      <c r="J449" s="46">
        <f t="shared" si="39"/>
        <v>239799</v>
      </c>
      <c r="K449" s="26">
        <v>225491</v>
      </c>
      <c r="L449" s="10">
        <v>19691</v>
      </c>
      <c r="M449" s="33">
        <v>2355</v>
      </c>
      <c r="N449" s="46">
        <f t="shared" si="40"/>
        <v>487336</v>
      </c>
      <c r="O449" s="50">
        <f t="shared" si="43"/>
        <v>11.255164105861398</v>
      </c>
      <c r="P449" s="30">
        <f t="shared" si="41"/>
        <v>-107193.04999999999</v>
      </c>
    </row>
    <row r="450" spans="1:16" ht="12.75">
      <c r="A450" s="10">
        <v>23</v>
      </c>
      <c r="B450" s="5" t="s">
        <v>195</v>
      </c>
      <c r="C450" s="13">
        <v>2527.69</v>
      </c>
      <c r="D450" s="25"/>
      <c r="E450" s="38">
        <f t="shared" si="42"/>
        <v>272612.94</v>
      </c>
      <c r="F450" s="13">
        <v>272612.94</v>
      </c>
      <c r="G450" s="37"/>
      <c r="H450" s="26">
        <v>79817</v>
      </c>
      <c r="I450" s="25">
        <v>108706</v>
      </c>
      <c r="J450" s="46">
        <f t="shared" si="39"/>
        <v>188523</v>
      </c>
      <c r="K450" s="26">
        <v>147914</v>
      </c>
      <c r="L450" s="10">
        <v>13795</v>
      </c>
      <c r="M450" s="33">
        <v>1649</v>
      </c>
      <c r="N450" s="46">
        <f t="shared" si="40"/>
        <v>351881</v>
      </c>
      <c r="O450" s="50">
        <f t="shared" si="43"/>
        <v>11.600875371056842</v>
      </c>
      <c r="P450" s="30">
        <f t="shared" si="41"/>
        <v>-79268.06</v>
      </c>
    </row>
    <row r="451" spans="1:16" ht="12.75">
      <c r="A451" s="10">
        <v>24</v>
      </c>
      <c r="B451" s="5" t="s">
        <v>196</v>
      </c>
      <c r="C451" s="13">
        <v>3613.63</v>
      </c>
      <c r="D451" s="25"/>
      <c r="E451" s="38">
        <f t="shared" si="42"/>
        <v>321005.03</v>
      </c>
      <c r="F451" s="13">
        <v>321005.03</v>
      </c>
      <c r="G451" s="37"/>
      <c r="H451" s="26">
        <v>114107</v>
      </c>
      <c r="I451" s="25">
        <v>125662</v>
      </c>
      <c r="J451" s="46">
        <f t="shared" si="39"/>
        <v>239769</v>
      </c>
      <c r="K451" s="26">
        <v>441221</v>
      </c>
      <c r="L451" s="10">
        <v>19721</v>
      </c>
      <c r="M451" s="33">
        <v>2358</v>
      </c>
      <c r="N451" s="46">
        <f t="shared" si="40"/>
        <v>703069</v>
      </c>
      <c r="O451" s="50">
        <f t="shared" si="43"/>
        <v>16.213359788725832</v>
      </c>
      <c r="P451" s="30">
        <f t="shared" si="41"/>
        <v>-382063.97</v>
      </c>
    </row>
    <row r="452" spans="1:16" ht="12.75">
      <c r="A452" s="10">
        <v>25</v>
      </c>
      <c r="B452" s="5" t="s">
        <v>197</v>
      </c>
      <c r="C452" s="13">
        <v>3657.15</v>
      </c>
      <c r="D452" s="25"/>
      <c r="E452" s="38">
        <f t="shared" si="42"/>
        <v>421127.27</v>
      </c>
      <c r="F452" s="13">
        <v>421127.27</v>
      </c>
      <c r="G452" s="37"/>
      <c r="H452" s="26">
        <v>115482</v>
      </c>
      <c r="I452" s="25">
        <v>128575</v>
      </c>
      <c r="J452" s="46">
        <f t="shared" si="39"/>
        <v>244057</v>
      </c>
      <c r="K452" s="26">
        <v>279052</v>
      </c>
      <c r="L452" s="10">
        <v>19959</v>
      </c>
      <c r="M452" s="33">
        <v>2387</v>
      </c>
      <c r="N452" s="46">
        <f t="shared" si="40"/>
        <v>545455</v>
      </c>
      <c r="O452" s="50">
        <f t="shared" si="43"/>
        <v>12.428963354889282</v>
      </c>
      <c r="P452" s="30">
        <f t="shared" si="41"/>
        <v>-124327.72999999998</v>
      </c>
    </row>
    <row r="453" spans="1:16" ht="12.75">
      <c r="A453" s="10">
        <v>26</v>
      </c>
      <c r="B453" s="5" t="s">
        <v>198</v>
      </c>
      <c r="C453" s="13">
        <v>3613.94</v>
      </c>
      <c r="D453" s="25"/>
      <c r="E453" s="38">
        <f t="shared" si="42"/>
        <v>382549.57</v>
      </c>
      <c r="F453" s="13">
        <v>382549.57</v>
      </c>
      <c r="G453" s="37"/>
      <c r="H453" s="26">
        <v>114117</v>
      </c>
      <c r="I453" s="25">
        <v>130545</v>
      </c>
      <c r="J453" s="46">
        <f t="shared" si="39"/>
        <v>244662</v>
      </c>
      <c r="K453" s="26">
        <v>365009</v>
      </c>
      <c r="L453" s="10">
        <v>19723</v>
      </c>
      <c r="M453" s="33">
        <v>2358</v>
      </c>
      <c r="N453" s="46">
        <f t="shared" si="40"/>
        <v>631752</v>
      </c>
      <c r="O453" s="50">
        <f t="shared" si="43"/>
        <v>14.567480367687343</v>
      </c>
      <c r="P453" s="30">
        <f t="shared" si="41"/>
        <v>-249202.43</v>
      </c>
    </row>
    <row r="454" spans="1:16" ht="12.75">
      <c r="A454" s="10">
        <v>27</v>
      </c>
      <c r="B454" s="5" t="s">
        <v>199</v>
      </c>
      <c r="C454" s="13">
        <v>3619.08</v>
      </c>
      <c r="D454" s="25"/>
      <c r="E454" s="38">
        <f t="shared" si="42"/>
        <v>425107.53</v>
      </c>
      <c r="F454" s="13">
        <v>425107.53</v>
      </c>
      <c r="G454" s="37"/>
      <c r="H454" s="26">
        <v>114280</v>
      </c>
      <c r="I454" s="25">
        <v>131897</v>
      </c>
      <c r="J454" s="46">
        <f t="shared" si="39"/>
        <v>246177</v>
      </c>
      <c r="K454" s="26">
        <v>550901</v>
      </c>
      <c r="L454" s="10">
        <v>19751</v>
      </c>
      <c r="M454" s="33">
        <v>2361</v>
      </c>
      <c r="N454" s="46">
        <f t="shared" si="40"/>
        <v>819190</v>
      </c>
      <c r="O454" s="50">
        <f t="shared" si="43"/>
        <v>18.862758859525993</v>
      </c>
      <c r="P454" s="30">
        <f t="shared" si="41"/>
        <v>-394082.47</v>
      </c>
    </row>
    <row r="455" spans="1:16" ht="12.75">
      <c r="A455" s="10">
        <v>28</v>
      </c>
      <c r="B455" s="5" t="s">
        <v>200</v>
      </c>
      <c r="C455" s="13">
        <v>3626.99</v>
      </c>
      <c r="D455" s="25"/>
      <c r="E455" s="38">
        <f t="shared" si="42"/>
        <v>406231.37</v>
      </c>
      <c r="F455" s="13">
        <v>406231.37</v>
      </c>
      <c r="G455" s="37"/>
      <c r="H455" s="26">
        <v>114529</v>
      </c>
      <c r="I455" s="25">
        <v>144407</v>
      </c>
      <c r="J455" s="46">
        <f t="shared" si="39"/>
        <v>258936</v>
      </c>
      <c r="K455" s="26">
        <v>204350</v>
      </c>
      <c r="L455" s="10">
        <v>19794</v>
      </c>
      <c r="M455" s="33">
        <v>2367</v>
      </c>
      <c r="N455" s="46">
        <f t="shared" si="40"/>
        <v>485447</v>
      </c>
      <c r="O455" s="50">
        <f t="shared" si="43"/>
        <v>11.15357821958888</v>
      </c>
      <c r="P455" s="30">
        <f t="shared" si="41"/>
        <v>-79215.63</v>
      </c>
    </row>
    <row r="456" spans="1:16" ht="12.75">
      <c r="A456" s="10">
        <v>29</v>
      </c>
      <c r="B456" s="5" t="s">
        <v>201</v>
      </c>
      <c r="C456" s="13">
        <v>3621.21</v>
      </c>
      <c r="D456" s="25"/>
      <c r="E456" s="38">
        <f t="shared" si="42"/>
        <v>391002.11</v>
      </c>
      <c r="F456" s="13">
        <v>391002.11</v>
      </c>
      <c r="G456" s="37"/>
      <c r="H456" s="26">
        <v>114347</v>
      </c>
      <c r="I456" s="25">
        <v>131838</v>
      </c>
      <c r="J456" s="46">
        <f t="shared" si="39"/>
        <v>246185</v>
      </c>
      <c r="K456" s="26">
        <v>496737</v>
      </c>
      <c r="L456" s="10">
        <v>19763</v>
      </c>
      <c r="M456" s="33">
        <v>2363</v>
      </c>
      <c r="N456" s="46">
        <f t="shared" si="40"/>
        <v>765048</v>
      </c>
      <c r="O456" s="50">
        <f t="shared" si="43"/>
        <v>17.60571742594326</v>
      </c>
      <c r="P456" s="30">
        <f t="shared" si="41"/>
        <v>-374045.89</v>
      </c>
    </row>
    <row r="457" spans="1:16" ht="12.75">
      <c r="A457" s="10">
        <v>30</v>
      </c>
      <c r="B457" s="5" t="s">
        <v>202</v>
      </c>
      <c r="C457" s="13">
        <v>3616.22</v>
      </c>
      <c r="D457" s="25"/>
      <c r="E457" s="38">
        <f t="shared" si="42"/>
        <v>430614.6</v>
      </c>
      <c r="F457" s="13">
        <v>430614.6</v>
      </c>
      <c r="G457" s="37"/>
      <c r="H457" s="26">
        <v>114189</v>
      </c>
      <c r="I457" s="25">
        <v>132952</v>
      </c>
      <c r="J457" s="46">
        <f t="shared" si="39"/>
        <v>247141</v>
      </c>
      <c r="K457" s="26">
        <v>163243</v>
      </c>
      <c r="L457" s="10">
        <v>19735</v>
      </c>
      <c r="M457" s="33">
        <v>2359</v>
      </c>
      <c r="N457" s="46">
        <f t="shared" si="40"/>
        <v>432478</v>
      </c>
      <c r="O457" s="50">
        <f t="shared" si="43"/>
        <v>9.966161719511904</v>
      </c>
      <c r="P457" s="30">
        <f t="shared" si="41"/>
        <v>-1863.4000000000233</v>
      </c>
    </row>
    <row r="458" spans="1:16" ht="12.75">
      <c r="A458" s="10">
        <v>31</v>
      </c>
      <c r="B458" s="5" t="s">
        <v>203</v>
      </c>
      <c r="C458" s="13">
        <v>3641.89</v>
      </c>
      <c r="D458" s="25"/>
      <c r="E458" s="38">
        <f t="shared" si="42"/>
        <v>414749.37</v>
      </c>
      <c r="F458" s="13">
        <v>414749.37</v>
      </c>
      <c r="G458" s="37"/>
      <c r="H458" s="26">
        <v>115000</v>
      </c>
      <c r="I458" s="25">
        <v>136175</v>
      </c>
      <c r="J458" s="46">
        <f t="shared" si="39"/>
        <v>251175</v>
      </c>
      <c r="K458" s="26">
        <v>411805</v>
      </c>
      <c r="L458" s="10">
        <v>19785</v>
      </c>
      <c r="M458" s="33">
        <v>2377</v>
      </c>
      <c r="N458" s="46">
        <f t="shared" si="40"/>
        <v>685142</v>
      </c>
      <c r="O458" s="50">
        <f t="shared" si="43"/>
        <v>15.677345187983896</v>
      </c>
      <c r="P458" s="30">
        <f t="shared" si="41"/>
        <v>-270392.63</v>
      </c>
    </row>
    <row r="459" spans="1:16" ht="12.75">
      <c r="A459" s="10">
        <v>32</v>
      </c>
      <c r="B459" s="5" t="s">
        <v>204</v>
      </c>
      <c r="C459" s="13">
        <v>3803.6</v>
      </c>
      <c r="D459" s="25"/>
      <c r="E459" s="38">
        <f t="shared" si="42"/>
        <v>381509.86</v>
      </c>
      <c r="F459" s="13">
        <v>381509.86</v>
      </c>
      <c r="G459" s="37"/>
      <c r="H459" s="26">
        <v>120106</v>
      </c>
      <c r="I459" s="25">
        <v>138100</v>
      </c>
      <c r="J459" s="46">
        <f t="shared" si="39"/>
        <v>258206</v>
      </c>
      <c r="K459" s="26">
        <v>118925</v>
      </c>
      <c r="L459" s="10">
        <v>20758</v>
      </c>
      <c r="M459" s="33">
        <v>2482</v>
      </c>
      <c r="N459" s="46">
        <f t="shared" si="40"/>
        <v>400371</v>
      </c>
      <c r="O459" s="50">
        <f t="shared" si="43"/>
        <v>8.771755705121464</v>
      </c>
      <c r="P459" s="30">
        <f t="shared" si="41"/>
        <v>-18861.140000000014</v>
      </c>
    </row>
    <row r="460" spans="1:16" ht="12.75">
      <c r="A460" s="10">
        <v>33</v>
      </c>
      <c r="B460" s="5" t="s">
        <v>205</v>
      </c>
      <c r="C460" s="13">
        <v>3765.82</v>
      </c>
      <c r="D460" s="25"/>
      <c r="E460" s="38">
        <f t="shared" si="42"/>
        <v>402241.07</v>
      </c>
      <c r="F460" s="13">
        <v>402241.07</v>
      </c>
      <c r="G460" s="37"/>
      <c r="H460" s="26">
        <v>118913</v>
      </c>
      <c r="I460" s="25">
        <v>126199</v>
      </c>
      <c r="J460" s="46">
        <f t="shared" si="39"/>
        <v>245112</v>
      </c>
      <c r="K460" s="26">
        <v>158309</v>
      </c>
      <c r="L460" s="10">
        <v>20552</v>
      </c>
      <c r="M460" s="33">
        <v>2458</v>
      </c>
      <c r="N460" s="46">
        <f t="shared" si="40"/>
        <v>426431</v>
      </c>
      <c r="O460" s="50">
        <f t="shared" si="43"/>
        <v>9.436435269520759</v>
      </c>
      <c r="P460" s="30">
        <f t="shared" si="41"/>
        <v>-24189.929999999993</v>
      </c>
    </row>
    <row r="461" spans="1:16" ht="12.75">
      <c r="A461" s="10"/>
      <c r="B461" s="22"/>
      <c r="C461" s="22"/>
      <c r="D461" s="25"/>
      <c r="E461" s="38">
        <f t="shared" si="42"/>
        <v>0</v>
      </c>
      <c r="F461" s="22"/>
      <c r="G461" s="40"/>
      <c r="H461" s="34"/>
      <c r="I461" s="44"/>
      <c r="J461" s="46">
        <f t="shared" si="39"/>
        <v>0</v>
      </c>
      <c r="K461" s="34"/>
      <c r="L461" s="22"/>
      <c r="M461" s="33"/>
      <c r="N461" s="46">
        <f t="shared" si="40"/>
        <v>0</v>
      </c>
      <c r="O461" s="50"/>
      <c r="P461" s="30">
        <f t="shared" si="41"/>
        <v>0</v>
      </c>
    </row>
    <row r="462" spans="1:16" ht="12.75">
      <c r="A462" s="10">
        <v>34</v>
      </c>
      <c r="B462" s="5" t="s">
        <v>206</v>
      </c>
      <c r="C462" s="13">
        <v>3805.6</v>
      </c>
      <c r="D462" s="25"/>
      <c r="E462" s="38">
        <f t="shared" si="42"/>
        <v>428680.85</v>
      </c>
      <c r="F462" s="13">
        <v>428680.85</v>
      </c>
      <c r="G462" s="37"/>
      <c r="H462" s="26">
        <v>118920</v>
      </c>
      <c r="I462" s="25">
        <v>142242</v>
      </c>
      <c r="J462" s="46">
        <f t="shared" si="39"/>
        <v>261162</v>
      </c>
      <c r="K462" s="26">
        <v>288873</v>
      </c>
      <c r="L462" s="10">
        <v>20769</v>
      </c>
      <c r="M462" s="33">
        <v>2483</v>
      </c>
      <c r="N462" s="46">
        <f t="shared" si="40"/>
        <v>573287</v>
      </c>
      <c r="O462" s="50">
        <f aca="true" t="shared" si="44" ref="O462:O476">N462/C462/12</f>
        <v>12.55358331581529</v>
      </c>
      <c r="P462" s="30">
        <f t="shared" si="41"/>
        <v>-144606.15000000002</v>
      </c>
    </row>
    <row r="463" spans="1:16" ht="12.75">
      <c r="A463" s="10">
        <v>35</v>
      </c>
      <c r="B463" s="5" t="s">
        <v>207</v>
      </c>
      <c r="C463" s="13">
        <v>3812.15</v>
      </c>
      <c r="D463" s="25"/>
      <c r="E463" s="38">
        <f t="shared" si="42"/>
        <v>436645.28</v>
      </c>
      <c r="F463" s="13">
        <v>436645.28</v>
      </c>
      <c r="G463" s="37"/>
      <c r="H463" s="26">
        <v>120376</v>
      </c>
      <c r="I463" s="25">
        <v>146167</v>
      </c>
      <c r="J463" s="46">
        <f t="shared" si="39"/>
        <v>266543</v>
      </c>
      <c r="K463" s="26">
        <v>279005</v>
      </c>
      <c r="L463" s="10">
        <v>20805</v>
      </c>
      <c r="M463" s="33">
        <v>2487</v>
      </c>
      <c r="N463" s="46">
        <f t="shared" si="40"/>
        <v>568840</v>
      </c>
      <c r="O463" s="50">
        <f t="shared" si="44"/>
        <v>12.434802757848807</v>
      </c>
      <c r="P463" s="30">
        <f t="shared" si="41"/>
        <v>-132194.71999999997</v>
      </c>
    </row>
    <row r="464" spans="1:16" ht="12.75">
      <c r="A464" s="10">
        <v>36</v>
      </c>
      <c r="B464" s="5" t="s">
        <v>208</v>
      </c>
      <c r="C464" s="13">
        <v>3801.02</v>
      </c>
      <c r="D464" s="25"/>
      <c r="E464" s="38">
        <f t="shared" si="42"/>
        <v>431749.5</v>
      </c>
      <c r="F464" s="13">
        <v>431749.5</v>
      </c>
      <c r="G464" s="37"/>
      <c r="H464" s="26">
        <v>120025</v>
      </c>
      <c r="I464" s="25">
        <v>135379</v>
      </c>
      <c r="J464" s="46">
        <f t="shared" si="39"/>
        <v>255404</v>
      </c>
      <c r="K464" s="26">
        <v>163328</v>
      </c>
      <c r="L464" s="10">
        <v>20744</v>
      </c>
      <c r="M464" s="33">
        <v>2481</v>
      </c>
      <c r="N464" s="46">
        <f t="shared" si="40"/>
        <v>441957</v>
      </c>
      <c r="O464" s="50">
        <f t="shared" si="44"/>
        <v>9.689438624369249</v>
      </c>
      <c r="P464" s="30">
        <f t="shared" si="41"/>
        <v>-10207.5</v>
      </c>
    </row>
    <row r="465" spans="1:16" ht="12.75">
      <c r="A465" s="10">
        <v>37</v>
      </c>
      <c r="B465" s="5" t="s">
        <v>209</v>
      </c>
      <c r="C465" s="13">
        <v>3786.32</v>
      </c>
      <c r="D465" s="25"/>
      <c r="E465" s="38">
        <f t="shared" si="42"/>
        <v>350067.15</v>
      </c>
      <c r="F465" s="13">
        <v>350067.15</v>
      </c>
      <c r="G465" s="37"/>
      <c r="H465" s="26">
        <v>119561</v>
      </c>
      <c r="I465" s="25">
        <v>143231</v>
      </c>
      <c r="J465" s="46">
        <f t="shared" si="39"/>
        <v>262792</v>
      </c>
      <c r="K465" s="26">
        <v>305313</v>
      </c>
      <c r="L465" s="10">
        <v>20677</v>
      </c>
      <c r="M465" s="33">
        <v>2471</v>
      </c>
      <c r="N465" s="46">
        <f t="shared" si="40"/>
        <v>591253</v>
      </c>
      <c r="O465" s="50">
        <f t="shared" si="44"/>
        <v>13.012921077281723</v>
      </c>
      <c r="P465" s="30">
        <f t="shared" si="41"/>
        <v>-241185.84999999998</v>
      </c>
    </row>
    <row r="466" spans="1:16" ht="12.75">
      <c r="A466" s="10">
        <v>38</v>
      </c>
      <c r="B466" s="5" t="s">
        <v>210</v>
      </c>
      <c r="C466" s="13">
        <v>3739.54</v>
      </c>
      <c r="D466" s="25"/>
      <c r="E466" s="38">
        <f t="shared" si="42"/>
        <v>430373.69</v>
      </c>
      <c r="F466" s="13">
        <v>430373.69</v>
      </c>
      <c r="G466" s="37"/>
      <c r="H466" s="26">
        <v>118083</v>
      </c>
      <c r="I466" s="25">
        <v>140844</v>
      </c>
      <c r="J466" s="46">
        <f t="shared" si="39"/>
        <v>258927</v>
      </c>
      <c r="K466" s="26">
        <v>238496</v>
      </c>
      <c r="L466" s="10">
        <v>21529</v>
      </c>
      <c r="M466" s="33">
        <v>2440</v>
      </c>
      <c r="N466" s="46">
        <f t="shared" si="40"/>
        <v>521392</v>
      </c>
      <c r="O466" s="50">
        <f t="shared" si="44"/>
        <v>11.618897868008721</v>
      </c>
      <c r="P466" s="30">
        <f t="shared" si="41"/>
        <v>-91018.31</v>
      </c>
    </row>
    <row r="467" spans="1:16" ht="12.75">
      <c r="A467" s="10">
        <v>39</v>
      </c>
      <c r="B467" s="5" t="s">
        <v>211</v>
      </c>
      <c r="C467" s="13">
        <v>3624.69</v>
      </c>
      <c r="D467" s="25"/>
      <c r="E467" s="38">
        <f t="shared" si="42"/>
        <v>401858.92</v>
      </c>
      <c r="F467" s="13">
        <v>401858.92</v>
      </c>
      <c r="G467" s="37"/>
      <c r="H467" s="26">
        <v>114457</v>
      </c>
      <c r="I467" s="25">
        <v>125590</v>
      </c>
      <c r="J467" s="46">
        <f t="shared" si="39"/>
        <v>240047</v>
      </c>
      <c r="K467" s="26">
        <v>456655</v>
      </c>
      <c r="L467" s="10">
        <v>20372</v>
      </c>
      <c r="M467" s="33">
        <v>2365</v>
      </c>
      <c r="N467" s="46">
        <f t="shared" si="40"/>
        <v>719439</v>
      </c>
      <c r="O467" s="50">
        <f t="shared" si="44"/>
        <v>16.54024206207979</v>
      </c>
      <c r="P467" s="30">
        <f t="shared" si="41"/>
        <v>-317580.08</v>
      </c>
    </row>
    <row r="468" spans="1:16" ht="12.75">
      <c r="A468" s="10">
        <v>40</v>
      </c>
      <c r="B468" s="5" t="s">
        <v>212</v>
      </c>
      <c r="C468" s="13">
        <v>2517.57</v>
      </c>
      <c r="D468" s="25"/>
      <c r="E468" s="38">
        <f t="shared" si="42"/>
        <v>272855.6</v>
      </c>
      <c r="F468" s="13">
        <v>272855.6</v>
      </c>
      <c r="G468" s="37"/>
      <c r="H468" s="26">
        <v>79497</v>
      </c>
      <c r="I468" s="25">
        <v>91328</v>
      </c>
      <c r="J468" s="46">
        <f t="shared" si="39"/>
        <v>170825</v>
      </c>
      <c r="K468" s="26">
        <v>304128</v>
      </c>
      <c r="L468" s="10">
        <v>13739</v>
      </c>
      <c r="M468" s="33">
        <v>1642</v>
      </c>
      <c r="N468" s="46">
        <f t="shared" si="40"/>
        <v>490334</v>
      </c>
      <c r="O468" s="50">
        <f t="shared" si="44"/>
        <v>16.230399419546096</v>
      </c>
      <c r="P468" s="30">
        <f t="shared" si="41"/>
        <v>-217478.40000000002</v>
      </c>
    </row>
    <row r="469" spans="1:16" ht="12.75">
      <c r="A469" s="10">
        <v>41</v>
      </c>
      <c r="B469" s="5" t="s">
        <v>213</v>
      </c>
      <c r="C469" s="13">
        <v>3604.55</v>
      </c>
      <c r="D469" s="25"/>
      <c r="E469" s="38">
        <f t="shared" si="42"/>
        <v>32626.72</v>
      </c>
      <c r="F469" s="13">
        <v>32626.72</v>
      </c>
      <c r="G469" s="37"/>
      <c r="H469" s="26"/>
      <c r="I469" s="25"/>
      <c r="J469" s="46">
        <f t="shared" si="39"/>
        <v>0</v>
      </c>
      <c r="K469" s="26"/>
      <c r="L469" s="10"/>
      <c r="M469" s="33"/>
      <c r="N469" s="46">
        <f t="shared" si="40"/>
        <v>0</v>
      </c>
      <c r="O469" s="50">
        <f t="shared" si="44"/>
        <v>0</v>
      </c>
      <c r="P469" s="30">
        <f t="shared" si="41"/>
        <v>32626.72</v>
      </c>
    </row>
    <row r="470" spans="1:16" ht="12.75">
      <c r="A470" s="10">
        <v>42</v>
      </c>
      <c r="B470" s="5" t="s">
        <v>214</v>
      </c>
      <c r="C470" s="13">
        <v>690.44</v>
      </c>
      <c r="D470" s="25"/>
      <c r="E470" s="38">
        <f t="shared" si="42"/>
        <v>18765.61</v>
      </c>
      <c r="F470" s="13">
        <v>18765.61</v>
      </c>
      <c r="G470" s="37"/>
      <c r="H470" s="26">
        <v>5244</v>
      </c>
      <c r="I470" s="25">
        <v>6511</v>
      </c>
      <c r="J470" s="46">
        <f t="shared" si="39"/>
        <v>11755</v>
      </c>
      <c r="K470" s="26">
        <v>3783</v>
      </c>
      <c r="L470" s="10">
        <v>849</v>
      </c>
      <c r="M470" s="33">
        <v>44</v>
      </c>
      <c r="N470" s="46">
        <f t="shared" si="40"/>
        <v>16431</v>
      </c>
      <c r="O470" s="50">
        <f t="shared" si="44"/>
        <v>1.9831556688488499</v>
      </c>
      <c r="P470" s="30">
        <f t="shared" si="41"/>
        <v>2334.6100000000006</v>
      </c>
    </row>
    <row r="471" spans="1:16" ht="12.75">
      <c r="A471" s="10">
        <v>43</v>
      </c>
      <c r="B471" s="5" t="s">
        <v>215</v>
      </c>
      <c r="C471" s="13">
        <v>654.84</v>
      </c>
      <c r="D471" s="25"/>
      <c r="E471" s="38">
        <f t="shared" si="42"/>
        <v>88404.98</v>
      </c>
      <c r="F471" s="13">
        <v>88404.98</v>
      </c>
      <c r="G471" s="37"/>
      <c r="H471" s="26">
        <v>20678</v>
      </c>
      <c r="I471" s="25">
        <v>7276</v>
      </c>
      <c r="J471" s="46">
        <f t="shared" si="39"/>
        <v>27954</v>
      </c>
      <c r="K471" s="26">
        <v>19440</v>
      </c>
      <c r="L471" s="10">
        <v>3574</v>
      </c>
      <c r="M471" s="33">
        <v>427</v>
      </c>
      <c r="N471" s="46">
        <f t="shared" si="40"/>
        <v>51395</v>
      </c>
      <c r="O471" s="50">
        <f t="shared" si="44"/>
        <v>6.5404017266304235</v>
      </c>
      <c r="P471" s="30">
        <f t="shared" si="41"/>
        <v>37009.979999999996</v>
      </c>
    </row>
    <row r="472" spans="1:16" ht="12.75">
      <c r="A472" s="10">
        <v>44</v>
      </c>
      <c r="B472" s="5" t="s">
        <v>216</v>
      </c>
      <c r="C472" s="13">
        <v>1806.12</v>
      </c>
      <c r="D472" s="25"/>
      <c r="E472" s="38">
        <f t="shared" si="42"/>
        <v>224922.56</v>
      </c>
      <c r="F472" s="13">
        <v>224922.56</v>
      </c>
      <c r="G472" s="37"/>
      <c r="H472" s="26">
        <v>57032</v>
      </c>
      <c r="I472" s="25">
        <v>75051</v>
      </c>
      <c r="J472" s="46">
        <f t="shared" si="39"/>
        <v>132083</v>
      </c>
      <c r="K472" s="26">
        <v>97821</v>
      </c>
      <c r="L472" s="10">
        <v>9857</v>
      </c>
      <c r="M472" s="33">
        <v>1178</v>
      </c>
      <c r="N472" s="46">
        <f t="shared" si="40"/>
        <v>240939</v>
      </c>
      <c r="O472" s="50">
        <f t="shared" si="44"/>
        <v>11.116786260049167</v>
      </c>
      <c r="P472" s="30">
        <f t="shared" si="41"/>
        <v>-16016.440000000002</v>
      </c>
    </row>
    <row r="473" spans="1:16" ht="12.75">
      <c r="A473" s="10">
        <v>45</v>
      </c>
      <c r="B473" s="5" t="s">
        <v>217</v>
      </c>
      <c r="C473" s="13">
        <v>1493.57</v>
      </c>
      <c r="D473" s="25"/>
      <c r="E473" s="38">
        <f t="shared" si="42"/>
        <v>40808.1</v>
      </c>
      <c r="F473" s="13">
        <v>40808.1</v>
      </c>
      <c r="G473" s="37"/>
      <c r="H473" s="26">
        <v>11343</v>
      </c>
      <c r="I473" s="25">
        <v>16389</v>
      </c>
      <c r="J473" s="46">
        <f t="shared" si="39"/>
        <v>27732</v>
      </c>
      <c r="K473" s="26">
        <v>34066</v>
      </c>
      <c r="L473" s="10">
        <v>1837</v>
      </c>
      <c r="M473" s="33">
        <v>96</v>
      </c>
      <c r="N473" s="46">
        <f t="shared" si="40"/>
        <v>63731</v>
      </c>
      <c r="O473" s="50">
        <f t="shared" si="44"/>
        <v>3.555853871373064</v>
      </c>
      <c r="P473" s="30">
        <f t="shared" si="41"/>
        <v>-22922.9</v>
      </c>
    </row>
    <row r="474" spans="1:16" ht="13.5" thickBot="1">
      <c r="A474" s="10">
        <v>46</v>
      </c>
      <c r="B474" s="5" t="s">
        <v>449</v>
      </c>
      <c r="C474" s="10">
        <v>1999.99</v>
      </c>
      <c r="D474" s="25"/>
      <c r="E474" s="38">
        <f t="shared" si="42"/>
        <v>211741.5</v>
      </c>
      <c r="F474" s="13">
        <v>211741.5</v>
      </c>
      <c r="G474" s="37"/>
      <c r="H474" s="26">
        <v>63154</v>
      </c>
      <c r="I474" s="25">
        <v>71732</v>
      </c>
      <c r="J474" s="46">
        <f t="shared" si="39"/>
        <v>134886</v>
      </c>
      <c r="K474" s="26">
        <v>55824</v>
      </c>
      <c r="L474" s="10">
        <v>12235</v>
      </c>
      <c r="M474" s="73">
        <v>1305</v>
      </c>
      <c r="N474" s="46">
        <f t="shared" si="40"/>
        <v>204250</v>
      </c>
      <c r="O474" s="50">
        <f t="shared" si="44"/>
        <v>8.510459218962762</v>
      </c>
      <c r="P474" s="30">
        <f t="shared" si="41"/>
        <v>7491.5</v>
      </c>
    </row>
    <row r="475" spans="1:16" ht="13.5" thickBot="1">
      <c r="A475" s="23">
        <v>47</v>
      </c>
      <c r="B475" s="65" t="s">
        <v>527</v>
      </c>
      <c r="C475" s="23">
        <v>1443.12</v>
      </c>
      <c r="D475" s="66"/>
      <c r="E475" s="67">
        <f t="shared" si="42"/>
        <v>108779.7</v>
      </c>
      <c r="F475" s="68">
        <v>108779.7</v>
      </c>
      <c r="G475" s="69"/>
      <c r="H475" s="70">
        <v>34346</v>
      </c>
      <c r="I475" s="66">
        <v>23273</v>
      </c>
      <c r="J475" s="46">
        <f t="shared" si="39"/>
        <v>57619</v>
      </c>
      <c r="K475" s="72">
        <v>53077</v>
      </c>
      <c r="L475" s="23">
        <v>5033</v>
      </c>
      <c r="M475" s="85">
        <v>324</v>
      </c>
      <c r="N475" s="46">
        <f t="shared" si="40"/>
        <v>116053</v>
      </c>
      <c r="O475" s="50">
        <f t="shared" si="44"/>
        <v>6.701510153925754</v>
      </c>
      <c r="P475" s="30">
        <f t="shared" si="41"/>
        <v>-7273.300000000003</v>
      </c>
    </row>
    <row r="476" spans="1:16" ht="13.5" thickBot="1">
      <c r="A476" s="77"/>
      <c r="B476" s="78" t="s">
        <v>243</v>
      </c>
      <c r="C476" s="79">
        <f>SUM(C428:C475)</f>
        <v>158839.53000000003</v>
      </c>
      <c r="D476" s="80">
        <f>SUM(D428:D475)</f>
        <v>0</v>
      </c>
      <c r="E476" s="81">
        <f>SUM(E428:E475)</f>
        <v>16820769.769999996</v>
      </c>
      <c r="F476" s="82">
        <f>SUM(F428:F475)</f>
        <v>16820769.769999996</v>
      </c>
      <c r="G476" s="83"/>
      <c r="H476" s="84">
        <f aca="true" t="shared" si="45" ref="H476:N476">SUM(H428:H475)</f>
        <v>4588742</v>
      </c>
      <c r="I476" s="85">
        <f t="shared" si="45"/>
        <v>5499050</v>
      </c>
      <c r="J476" s="46">
        <f t="shared" si="45"/>
        <v>10087792</v>
      </c>
      <c r="K476" s="84">
        <f t="shared" si="45"/>
        <v>11986344</v>
      </c>
      <c r="L476" s="87">
        <f t="shared" si="45"/>
        <v>822768</v>
      </c>
      <c r="M476" s="80">
        <f t="shared" si="45"/>
        <v>99020</v>
      </c>
      <c r="N476" s="86">
        <f t="shared" si="45"/>
        <v>22995924</v>
      </c>
      <c r="O476" s="50">
        <f t="shared" si="44"/>
        <v>12.064547156491836</v>
      </c>
      <c r="P476" s="30">
        <f t="shared" si="41"/>
        <v>-6175154.230000004</v>
      </c>
    </row>
    <row r="478" spans="2:4" ht="13.5" thickBot="1">
      <c r="B478" s="118" t="s">
        <v>530</v>
      </c>
      <c r="C478" s="9"/>
      <c r="D478" s="9"/>
    </row>
    <row r="479" spans="2:16" ht="12.75">
      <c r="B479" s="91" t="s">
        <v>528</v>
      </c>
      <c r="C479" s="92"/>
      <c r="D479" s="92"/>
      <c r="E479" s="92"/>
      <c r="F479" s="92"/>
      <c r="G479" s="92"/>
      <c r="H479" s="93">
        <v>2209903</v>
      </c>
      <c r="I479" s="111">
        <v>4366918</v>
      </c>
      <c r="J479" s="29"/>
      <c r="K479" s="111">
        <v>4343907</v>
      </c>
      <c r="L479" s="29"/>
      <c r="M479" s="29"/>
      <c r="N479" s="29"/>
      <c r="O479" s="29"/>
      <c r="P479" s="29"/>
    </row>
    <row r="480" spans="2:16" ht="12.75">
      <c r="B480" s="94" t="s">
        <v>529</v>
      </c>
      <c r="C480" s="95"/>
      <c r="D480" s="95"/>
      <c r="E480" s="95"/>
      <c r="F480" s="95"/>
      <c r="G480" s="95"/>
      <c r="H480" s="96">
        <v>447389</v>
      </c>
      <c r="I480" s="112">
        <v>880589</v>
      </c>
      <c r="J480" s="29"/>
      <c r="K480" s="113">
        <v>875969</v>
      </c>
      <c r="L480" s="29"/>
      <c r="M480" s="29"/>
      <c r="N480" s="29"/>
      <c r="O480" s="29"/>
      <c r="P480" s="29"/>
    </row>
    <row r="481" spans="2:16" ht="12.75">
      <c r="B481" s="97" t="s">
        <v>537</v>
      </c>
      <c r="C481" s="98"/>
      <c r="D481" s="98"/>
      <c r="E481" s="98"/>
      <c r="F481" s="98"/>
      <c r="G481" s="98"/>
      <c r="H481" s="99"/>
      <c r="I481" s="112"/>
      <c r="J481" s="29"/>
      <c r="K481" s="113"/>
      <c r="L481" s="29"/>
      <c r="M481" s="29"/>
      <c r="N481" s="29"/>
      <c r="O481" s="29"/>
      <c r="P481" s="29"/>
    </row>
    <row r="482" spans="2:16" ht="12.75">
      <c r="B482" s="94" t="s">
        <v>535</v>
      </c>
      <c r="C482" s="98"/>
      <c r="D482" s="98"/>
      <c r="E482" s="98"/>
      <c r="F482" s="98"/>
      <c r="G482" s="98"/>
      <c r="H482" s="96">
        <v>77203</v>
      </c>
      <c r="I482" s="113"/>
      <c r="J482" s="29"/>
      <c r="K482" s="113"/>
      <c r="L482" s="29"/>
      <c r="M482" s="29"/>
      <c r="N482" s="29"/>
      <c r="O482" s="29"/>
      <c r="P482" s="29"/>
    </row>
    <row r="483" spans="2:16" ht="12.75">
      <c r="B483" s="94" t="s">
        <v>531</v>
      </c>
      <c r="C483" s="98"/>
      <c r="D483" s="98"/>
      <c r="E483" s="98"/>
      <c r="F483" s="98"/>
      <c r="G483" s="98"/>
      <c r="H483" s="96">
        <v>93720</v>
      </c>
      <c r="I483" s="113"/>
      <c r="J483" s="29"/>
      <c r="K483" s="113"/>
      <c r="L483" s="29"/>
      <c r="M483" s="29"/>
      <c r="N483" s="29"/>
      <c r="O483" s="29"/>
      <c r="P483" s="29"/>
    </row>
    <row r="484" spans="2:16" ht="12.75">
      <c r="B484" s="94" t="s">
        <v>532</v>
      </c>
      <c r="C484" s="98"/>
      <c r="D484" s="98"/>
      <c r="E484" s="98"/>
      <c r="F484" s="98"/>
      <c r="G484" s="98"/>
      <c r="H484" s="96">
        <v>831171</v>
      </c>
      <c r="I484" s="113"/>
      <c r="J484" s="29"/>
      <c r="K484" s="113"/>
      <c r="L484" s="29"/>
      <c r="M484" s="29"/>
      <c r="N484" s="29"/>
      <c r="O484" s="29"/>
      <c r="P484" s="29"/>
    </row>
    <row r="485" spans="2:16" ht="12.75">
      <c r="B485" s="94" t="s">
        <v>533</v>
      </c>
      <c r="C485" s="95"/>
      <c r="D485" s="95"/>
      <c r="E485" s="95"/>
      <c r="F485" s="95"/>
      <c r="G485" s="95"/>
      <c r="H485" s="96">
        <v>75665</v>
      </c>
      <c r="I485" s="113"/>
      <c r="J485" s="29"/>
      <c r="K485" s="113"/>
      <c r="L485" s="29"/>
      <c r="M485" s="29"/>
      <c r="N485" s="29"/>
      <c r="O485" s="29"/>
      <c r="P485" s="29"/>
    </row>
    <row r="486" spans="2:16" ht="12.75">
      <c r="B486" s="94" t="s">
        <v>534</v>
      </c>
      <c r="C486" s="95"/>
      <c r="D486" s="95"/>
      <c r="E486" s="95"/>
      <c r="F486" s="95"/>
      <c r="G486" s="95"/>
      <c r="H486" s="96">
        <v>171630</v>
      </c>
      <c r="I486" s="113"/>
      <c r="J486" s="29"/>
      <c r="K486" s="113"/>
      <c r="L486" s="29"/>
      <c r="M486" s="29"/>
      <c r="N486" s="29"/>
      <c r="O486" s="29"/>
      <c r="P486" s="29"/>
    </row>
    <row r="487" spans="2:16" ht="12.75">
      <c r="B487" s="94" t="s">
        <v>536</v>
      </c>
      <c r="C487" s="95"/>
      <c r="D487" s="95"/>
      <c r="E487" s="95"/>
      <c r="F487" s="95"/>
      <c r="G487" s="95"/>
      <c r="H487" s="96">
        <v>374710</v>
      </c>
      <c r="I487" s="113"/>
      <c r="J487" s="29"/>
      <c r="K487" s="113"/>
      <c r="L487" s="29"/>
      <c r="M487" s="29"/>
      <c r="N487" s="29"/>
      <c r="O487" s="29"/>
      <c r="P487" s="29"/>
    </row>
    <row r="488" spans="2:16" ht="12.75">
      <c r="B488" s="94" t="s">
        <v>538</v>
      </c>
      <c r="C488" s="98"/>
      <c r="D488" s="98"/>
      <c r="E488" s="98"/>
      <c r="F488" s="98"/>
      <c r="G488" s="98"/>
      <c r="H488" s="96">
        <v>11139</v>
      </c>
      <c r="I488" s="113"/>
      <c r="J488" s="29"/>
      <c r="K488" s="113"/>
      <c r="L488" s="29"/>
      <c r="M488" s="29"/>
      <c r="N488" s="29"/>
      <c r="O488" s="29"/>
      <c r="P488" s="29"/>
    </row>
    <row r="489" spans="2:16" ht="12.75">
      <c r="B489" s="94" t="s">
        <v>539</v>
      </c>
      <c r="C489" s="98"/>
      <c r="D489" s="98"/>
      <c r="E489" s="98"/>
      <c r="F489" s="98"/>
      <c r="G489" s="98"/>
      <c r="H489" s="96">
        <v>52877</v>
      </c>
      <c r="I489" s="113"/>
      <c r="J489" s="29"/>
      <c r="K489" s="113"/>
      <c r="L489" s="29"/>
      <c r="M489" s="29"/>
      <c r="N489" s="29"/>
      <c r="O489" s="29"/>
      <c r="P489" s="29"/>
    </row>
    <row r="490" spans="2:16" ht="12.75">
      <c r="B490" s="94" t="s">
        <v>540</v>
      </c>
      <c r="C490" s="98"/>
      <c r="D490" s="98"/>
      <c r="E490" s="98"/>
      <c r="F490" s="98"/>
      <c r="G490" s="98"/>
      <c r="H490" s="96">
        <v>25200</v>
      </c>
      <c r="I490" s="113"/>
      <c r="J490" s="29"/>
      <c r="K490" s="113"/>
      <c r="L490" s="29"/>
      <c r="M490" s="29"/>
      <c r="N490" s="29"/>
      <c r="O490" s="29"/>
      <c r="P490" s="29"/>
    </row>
    <row r="491" spans="2:16" ht="12.75">
      <c r="B491" s="94" t="s">
        <v>541</v>
      </c>
      <c r="C491" s="98"/>
      <c r="D491" s="98"/>
      <c r="E491" s="98"/>
      <c r="F491" s="98"/>
      <c r="G491" s="98"/>
      <c r="H491" s="96">
        <v>1000</v>
      </c>
      <c r="I491" s="113"/>
      <c r="J491" s="29"/>
      <c r="K491" s="113"/>
      <c r="L491" s="29"/>
      <c r="M491" s="29"/>
      <c r="N491" s="29"/>
      <c r="O491" s="29"/>
      <c r="P491" s="29"/>
    </row>
    <row r="492" spans="2:16" ht="12.75">
      <c r="B492" s="94" t="s">
        <v>542</v>
      </c>
      <c r="C492" s="98"/>
      <c r="D492" s="98"/>
      <c r="E492" s="98"/>
      <c r="F492" s="98"/>
      <c r="G492" s="98"/>
      <c r="H492" s="96">
        <v>16800</v>
      </c>
      <c r="I492" s="113"/>
      <c r="J492" s="29"/>
      <c r="K492" s="113"/>
      <c r="L492" s="29"/>
      <c r="M492" s="29"/>
      <c r="N492" s="29"/>
      <c r="O492" s="29"/>
      <c r="P492" s="29"/>
    </row>
    <row r="493" spans="2:16" ht="12.75">
      <c r="B493" s="94" t="s">
        <v>543</v>
      </c>
      <c r="C493" s="98"/>
      <c r="D493" s="98"/>
      <c r="E493" s="98"/>
      <c r="F493" s="98"/>
      <c r="G493" s="98"/>
      <c r="H493" s="96">
        <v>12430</v>
      </c>
      <c r="I493" s="113"/>
      <c r="J493" s="29"/>
      <c r="K493" s="113"/>
      <c r="L493" s="29"/>
      <c r="M493" s="29"/>
      <c r="N493" s="29"/>
      <c r="O493" s="29"/>
      <c r="P493" s="29"/>
    </row>
    <row r="494" spans="2:16" ht="12.75">
      <c r="B494" s="94" t="s">
        <v>544</v>
      </c>
      <c r="C494" s="98"/>
      <c r="D494" s="98"/>
      <c r="E494" s="98"/>
      <c r="F494" s="98"/>
      <c r="G494" s="98"/>
      <c r="H494" s="96">
        <v>3764</v>
      </c>
      <c r="I494" s="113"/>
      <c r="J494" s="29"/>
      <c r="K494" s="113"/>
      <c r="L494" s="29"/>
      <c r="M494" s="29"/>
      <c r="N494" s="29"/>
      <c r="O494" s="29"/>
      <c r="P494" s="29"/>
    </row>
    <row r="495" spans="2:16" ht="12.75">
      <c r="B495" s="94" t="s">
        <v>545</v>
      </c>
      <c r="C495" s="98"/>
      <c r="D495" s="98"/>
      <c r="E495" s="98"/>
      <c r="F495" s="98"/>
      <c r="G495" s="98"/>
      <c r="H495" s="96">
        <v>184141</v>
      </c>
      <c r="I495" s="113">
        <v>251543</v>
      </c>
      <c r="J495" s="29"/>
      <c r="K495" s="113"/>
      <c r="L495" s="29"/>
      <c r="M495" s="29"/>
      <c r="N495" s="29"/>
      <c r="O495" s="29"/>
      <c r="P495" s="29"/>
    </row>
    <row r="496" spans="2:16" ht="12.75">
      <c r="B496" s="94" t="s">
        <v>546</v>
      </c>
      <c r="C496" s="98"/>
      <c r="D496" s="98"/>
      <c r="E496" s="98"/>
      <c r="F496" s="98"/>
      <c r="G496" s="98"/>
      <c r="H496" s="96">
        <f>SUM(H482:H495)</f>
        <v>1931450</v>
      </c>
      <c r="I496" s="113"/>
      <c r="J496" s="29"/>
      <c r="K496" s="113"/>
      <c r="L496" s="29"/>
      <c r="M496" s="29"/>
      <c r="N496" s="29"/>
      <c r="O496" s="29"/>
      <c r="P496" s="29"/>
    </row>
    <row r="497" spans="2:16" ht="13.5" thickBot="1">
      <c r="B497" s="100" t="s">
        <v>11</v>
      </c>
      <c r="C497" s="101"/>
      <c r="D497" s="101"/>
      <c r="E497" s="101"/>
      <c r="F497" s="101"/>
      <c r="G497" s="101"/>
      <c r="H497" s="102">
        <f>H479+H480+H496</f>
        <v>4588742</v>
      </c>
      <c r="I497" s="114">
        <f>I479+I480+I495</f>
        <v>5499050</v>
      </c>
      <c r="J497" s="29"/>
      <c r="K497" s="113"/>
      <c r="L497" s="29"/>
      <c r="M497" s="29"/>
      <c r="N497" s="29"/>
      <c r="O497" s="29"/>
      <c r="P497" s="29"/>
    </row>
    <row r="498" spans="2:16" ht="13.5" thickBot="1">
      <c r="B498" s="94"/>
      <c r="C498" s="98"/>
      <c r="D498" s="98"/>
      <c r="E498" s="98"/>
      <c r="F498" s="98"/>
      <c r="G498" s="98"/>
      <c r="H498" s="110"/>
      <c r="I498" s="29"/>
      <c r="J498" s="29"/>
      <c r="K498" s="113"/>
      <c r="L498" s="29"/>
      <c r="M498" s="29"/>
      <c r="N498" s="29"/>
      <c r="O498" s="29"/>
      <c r="P498" s="29"/>
    </row>
    <row r="499" spans="2:11" ht="12.75">
      <c r="B499" s="91" t="s">
        <v>547</v>
      </c>
      <c r="C499" s="104"/>
      <c r="D499" s="104"/>
      <c r="E499" s="104"/>
      <c r="F499" s="104"/>
      <c r="G499" s="104"/>
      <c r="H499" s="104"/>
      <c r="I499" s="104"/>
      <c r="J499" s="104"/>
      <c r="K499" s="115">
        <v>1434370</v>
      </c>
    </row>
    <row r="500" spans="2:11" ht="12.75">
      <c r="B500" s="94" t="s">
        <v>553</v>
      </c>
      <c r="C500" s="98"/>
      <c r="D500" s="98"/>
      <c r="E500" s="98"/>
      <c r="F500" s="98"/>
      <c r="G500" s="98"/>
      <c r="H500" s="98"/>
      <c r="I500" s="98"/>
      <c r="J500" s="98"/>
      <c r="K500" s="105">
        <v>308800</v>
      </c>
    </row>
    <row r="501" spans="2:11" ht="12.75">
      <c r="B501" s="94" t="s">
        <v>554</v>
      </c>
      <c r="C501" s="98"/>
      <c r="D501" s="98"/>
      <c r="E501" s="98"/>
      <c r="F501" s="98"/>
      <c r="G501" s="98"/>
      <c r="H501" s="98"/>
      <c r="I501" s="98"/>
      <c r="J501" s="98"/>
      <c r="K501" s="105">
        <v>251640</v>
      </c>
    </row>
    <row r="502" spans="2:11" ht="12.75">
      <c r="B502" s="94" t="s">
        <v>555</v>
      </c>
      <c r="C502" s="98"/>
      <c r="D502" s="98"/>
      <c r="E502" s="98"/>
      <c r="F502" s="98"/>
      <c r="G502" s="98"/>
      <c r="H502" s="98"/>
      <c r="I502" s="98"/>
      <c r="J502" s="98"/>
      <c r="K502" s="105">
        <v>304539</v>
      </c>
    </row>
    <row r="503" spans="2:11" ht="12.75">
      <c r="B503" s="94" t="s">
        <v>556</v>
      </c>
      <c r="C503" s="98"/>
      <c r="D503" s="98"/>
      <c r="E503" s="98"/>
      <c r="F503" s="98"/>
      <c r="G503" s="98"/>
      <c r="H503" s="98"/>
      <c r="I503" s="98"/>
      <c r="J503" s="98"/>
      <c r="K503" s="96">
        <v>25000</v>
      </c>
    </row>
    <row r="504" spans="2:11" ht="12.75">
      <c r="B504" s="94" t="s">
        <v>127</v>
      </c>
      <c r="C504" s="98"/>
      <c r="D504" s="98"/>
      <c r="E504" s="98"/>
      <c r="F504" s="98"/>
      <c r="G504" s="98"/>
      <c r="H504" s="98"/>
      <c r="I504" s="98"/>
      <c r="J504" s="98"/>
      <c r="K504" s="96">
        <v>60450</v>
      </c>
    </row>
    <row r="505" spans="2:15" ht="12.75">
      <c r="B505" s="97" t="s">
        <v>549</v>
      </c>
      <c r="C505" s="95"/>
      <c r="D505" s="95"/>
      <c r="E505" s="95"/>
      <c r="F505" s="95"/>
      <c r="G505" s="95"/>
      <c r="H505" s="95"/>
      <c r="I505" s="95"/>
      <c r="J505" s="95"/>
      <c r="K505" s="96">
        <v>196588</v>
      </c>
      <c r="L505" s="29"/>
      <c r="M505" s="29"/>
      <c r="N505" s="29"/>
      <c r="O505" s="29"/>
    </row>
    <row r="506" spans="2:11" ht="12.75">
      <c r="B506" s="97" t="s">
        <v>548</v>
      </c>
      <c r="C506" s="98"/>
      <c r="D506" s="98"/>
      <c r="E506" s="98"/>
      <c r="F506" s="98"/>
      <c r="G506" s="98"/>
      <c r="H506" s="98"/>
      <c r="I506" s="98"/>
      <c r="J506" s="98"/>
      <c r="K506" s="106">
        <v>292562</v>
      </c>
    </row>
    <row r="507" spans="2:11" ht="12.75">
      <c r="B507" s="97" t="s">
        <v>557</v>
      </c>
      <c r="C507" s="98"/>
      <c r="D507" s="98"/>
      <c r="E507" s="98"/>
      <c r="F507" s="98"/>
      <c r="G507" s="98"/>
      <c r="H507" s="98"/>
      <c r="I507" s="98"/>
      <c r="J507" s="98"/>
      <c r="K507" s="106">
        <v>459946</v>
      </c>
    </row>
    <row r="508" spans="2:15" ht="12.75">
      <c r="B508" s="94" t="s">
        <v>550</v>
      </c>
      <c r="C508" s="95"/>
      <c r="D508" s="95"/>
      <c r="E508" s="95"/>
      <c r="F508" s="95"/>
      <c r="G508" s="95"/>
      <c r="H508" s="95"/>
      <c r="I508" s="95"/>
      <c r="J508" s="95"/>
      <c r="K508" s="96">
        <v>502296</v>
      </c>
      <c r="L508" s="29"/>
      <c r="M508" s="29"/>
      <c r="N508" s="29"/>
      <c r="O508" s="29"/>
    </row>
    <row r="509" spans="2:11" ht="12.75">
      <c r="B509" s="94" t="s">
        <v>551</v>
      </c>
      <c r="C509" s="98"/>
      <c r="D509" s="98"/>
      <c r="E509" s="98"/>
      <c r="F509" s="98"/>
      <c r="G509" s="98"/>
      <c r="H509" s="98"/>
      <c r="I509" s="98"/>
      <c r="J509" s="98"/>
      <c r="K509" s="96">
        <v>34877</v>
      </c>
    </row>
    <row r="510" spans="2:11" ht="12.75">
      <c r="B510" s="94" t="s">
        <v>552</v>
      </c>
      <c r="C510" s="98"/>
      <c r="D510" s="98"/>
      <c r="E510" s="98"/>
      <c r="F510" s="98"/>
      <c r="G510" s="98"/>
      <c r="H510" s="98"/>
      <c r="I510" s="98"/>
      <c r="J510" s="98"/>
      <c r="K510" s="96">
        <v>231081</v>
      </c>
    </row>
    <row r="511" spans="2:11" ht="12.75">
      <c r="B511" s="94" t="s">
        <v>560</v>
      </c>
      <c r="C511" s="98"/>
      <c r="D511" s="98"/>
      <c r="E511" s="98"/>
      <c r="F511" s="98"/>
      <c r="G511" s="98"/>
      <c r="H511" s="98"/>
      <c r="I511" s="98"/>
      <c r="J511" s="98"/>
      <c r="K511" s="96">
        <v>27000</v>
      </c>
    </row>
    <row r="512" spans="2:11" ht="12.75">
      <c r="B512" s="94" t="s">
        <v>562</v>
      </c>
      <c r="C512" s="98"/>
      <c r="D512" s="98"/>
      <c r="E512" s="98"/>
      <c r="F512" s="98"/>
      <c r="G512" s="98"/>
      <c r="H512" s="98"/>
      <c r="I512" s="98"/>
      <c r="J512" s="98"/>
      <c r="K512" s="96">
        <v>3502298</v>
      </c>
    </row>
    <row r="513" spans="2:11" ht="13.5" thickBot="1">
      <c r="B513" s="109" t="s">
        <v>546</v>
      </c>
      <c r="C513" s="98"/>
      <c r="D513" s="98"/>
      <c r="E513" s="98"/>
      <c r="F513" s="98"/>
      <c r="G513" s="98"/>
      <c r="H513" s="98"/>
      <c r="I513" s="98"/>
      <c r="J513" s="98"/>
      <c r="K513" s="103">
        <f>K479+K480+K499+K503+K504+K505+K506+K507+K508+K509+K510+K511+K512</f>
        <v>11986344</v>
      </c>
    </row>
    <row r="514" spans="2:12" ht="12.75">
      <c r="B514" s="91" t="s">
        <v>558</v>
      </c>
      <c r="C514" s="104"/>
      <c r="D514" s="104"/>
      <c r="E514" s="104"/>
      <c r="F514" s="104"/>
      <c r="G514" s="104"/>
      <c r="H514" s="104"/>
      <c r="I514" s="104"/>
      <c r="J514" s="104"/>
      <c r="K514" s="104"/>
      <c r="L514" s="93">
        <v>126051</v>
      </c>
    </row>
    <row r="515" spans="2:12" ht="12.75">
      <c r="B515" s="94" t="s">
        <v>559</v>
      </c>
      <c r="C515" s="98"/>
      <c r="D515" s="98"/>
      <c r="E515" s="98"/>
      <c r="F515" s="98"/>
      <c r="G515" s="98"/>
      <c r="H515" s="98"/>
      <c r="I515" s="98"/>
      <c r="J515" s="98"/>
      <c r="K515" s="95"/>
      <c r="L515" s="96">
        <v>210555</v>
      </c>
    </row>
    <row r="516" spans="2:12" ht="12.75">
      <c r="B516" s="94" t="s">
        <v>561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6">
        <v>302308</v>
      </c>
    </row>
    <row r="517" spans="2:12" ht="12.75">
      <c r="B517" s="94" t="s">
        <v>562</v>
      </c>
      <c r="C517" s="98"/>
      <c r="D517" s="98"/>
      <c r="E517" s="98"/>
      <c r="F517" s="98"/>
      <c r="G517" s="98"/>
      <c r="H517" s="98"/>
      <c r="I517" s="98"/>
      <c r="J517" s="98"/>
      <c r="K517" s="98"/>
      <c r="L517" s="96">
        <v>183854</v>
      </c>
    </row>
    <row r="518" spans="2:12" ht="13.5" thickBot="1">
      <c r="B518" s="107" t="s">
        <v>546</v>
      </c>
      <c r="C518" s="101"/>
      <c r="D518" s="101"/>
      <c r="E518" s="101"/>
      <c r="F518" s="101"/>
      <c r="G518" s="101"/>
      <c r="H518" s="101"/>
      <c r="I518" s="101"/>
      <c r="J518" s="101"/>
      <c r="K518" s="101"/>
      <c r="L518" s="108">
        <f>SUM(L514:L517)</f>
        <v>822768</v>
      </c>
    </row>
    <row r="530" spans="2:12" ht="12.75">
      <c r="B530" t="s">
        <v>246</v>
      </c>
      <c r="L530" t="s">
        <v>247</v>
      </c>
    </row>
    <row r="602" spans="1:16" ht="12.75">
      <c r="A602" s="29"/>
      <c r="B602" s="29"/>
      <c r="C602" s="29"/>
      <c r="D602" s="62" t="s">
        <v>222</v>
      </c>
      <c r="E602" s="62"/>
      <c r="F602" s="62"/>
      <c r="G602" s="62"/>
      <c r="H602" s="62"/>
      <c r="I602" s="62"/>
      <c r="J602" s="62"/>
      <c r="K602" s="62"/>
      <c r="L602" s="29"/>
      <c r="M602" s="29"/>
      <c r="N602" s="29"/>
      <c r="O602" s="29"/>
      <c r="P602" s="29"/>
    </row>
    <row r="603" spans="1:16" ht="13.5" thickBot="1">
      <c r="A603" s="29"/>
      <c r="B603" s="29"/>
      <c r="C603" s="29"/>
      <c r="D603" s="62"/>
      <c r="E603" s="62"/>
      <c r="F603" s="62"/>
      <c r="G603" s="62"/>
      <c r="H603" s="62"/>
      <c r="I603" s="62"/>
      <c r="J603" s="62" t="s">
        <v>526</v>
      </c>
      <c r="K603" s="62"/>
      <c r="L603" s="29"/>
      <c r="M603" s="29"/>
      <c r="N603" s="29"/>
      <c r="O603" s="29"/>
      <c r="P603" s="29"/>
    </row>
    <row r="604" spans="1:16" ht="12.75">
      <c r="A604" s="198" t="s">
        <v>0</v>
      </c>
      <c r="B604" s="201" t="s">
        <v>167</v>
      </c>
      <c r="C604" s="188" t="s">
        <v>165</v>
      </c>
      <c r="D604" s="145"/>
      <c r="E604" s="183" t="s">
        <v>446</v>
      </c>
      <c r="F604" s="184"/>
      <c r="G604" s="185"/>
      <c r="H604" s="186" t="s">
        <v>221</v>
      </c>
      <c r="I604" s="186"/>
      <c r="J604" s="186"/>
      <c r="K604" s="186"/>
      <c r="L604" s="186"/>
      <c r="M604" s="186"/>
      <c r="N604" s="186"/>
      <c r="O604" s="187"/>
      <c r="P604" s="188" t="s">
        <v>172</v>
      </c>
    </row>
    <row r="605" spans="1:16" ht="13.5" thickBot="1">
      <c r="A605" s="199"/>
      <c r="B605" s="202"/>
      <c r="C605" s="189"/>
      <c r="D605" s="146"/>
      <c r="E605" s="191" t="s">
        <v>169</v>
      </c>
      <c r="F605" s="193" t="s">
        <v>163</v>
      </c>
      <c r="G605" s="194"/>
      <c r="H605" s="195" t="s">
        <v>166</v>
      </c>
      <c r="I605" s="195"/>
      <c r="J605" s="196"/>
      <c r="K605" s="195"/>
      <c r="L605" s="195"/>
      <c r="M605" s="195"/>
      <c r="N605" s="196"/>
      <c r="O605" s="197"/>
      <c r="P605" s="189"/>
    </row>
    <row r="606" spans="1:16" ht="78.75">
      <c r="A606" s="200"/>
      <c r="B606" s="170"/>
      <c r="C606" s="190"/>
      <c r="D606" s="147"/>
      <c r="E606" s="192"/>
      <c r="F606" s="6" t="s">
        <v>164</v>
      </c>
      <c r="G606" s="35"/>
      <c r="H606" s="28" t="s">
        <v>158</v>
      </c>
      <c r="I606" s="27" t="s">
        <v>159</v>
      </c>
      <c r="J606" s="45" t="s">
        <v>168</v>
      </c>
      <c r="K606" s="28" t="s">
        <v>160</v>
      </c>
      <c r="L606" s="6" t="s">
        <v>161</v>
      </c>
      <c r="M606" s="25" t="s">
        <v>162</v>
      </c>
      <c r="N606" s="52" t="s">
        <v>170</v>
      </c>
      <c r="O606" s="28" t="s">
        <v>171</v>
      </c>
      <c r="P606" s="190"/>
    </row>
    <row r="607" spans="1:16" ht="12.75">
      <c r="A607" s="10">
        <v>1</v>
      </c>
      <c r="B607" s="10">
        <v>2</v>
      </c>
      <c r="C607" s="10">
        <v>3</v>
      </c>
      <c r="D607" s="31"/>
      <c r="E607" s="36">
        <v>4</v>
      </c>
      <c r="F607" s="10">
        <v>5</v>
      </c>
      <c r="G607" s="37">
        <v>6</v>
      </c>
      <c r="H607" s="26">
        <v>7</v>
      </c>
      <c r="I607" s="25">
        <v>8</v>
      </c>
      <c r="J607" s="46">
        <v>9</v>
      </c>
      <c r="K607" s="26">
        <v>10</v>
      </c>
      <c r="L607" s="10">
        <v>11</v>
      </c>
      <c r="M607" s="25">
        <v>12</v>
      </c>
      <c r="N607" s="46">
        <v>13</v>
      </c>
      <c r="O607" s="26">
        <v>14</v>
      </c>
      <c r="P607" s="10">
        <v>15</v>
      </c>
    </row>
    <row r="608" spans="1:16" ht="12.75">
      <c r="A608" s="10">
        <v>1</v>
      </c>
      <c r="B608" s="5" t="s">
        <v>173</v>
      </c>
      <c r="C608" s="13"/>
      <c r="D608" s="25"/>
      <c r="E608" s="38"/>
      <c r="F608" s="59"/>
      <c r="G608" s="37"/>
      <c r="H608" s="26"/>
      <c r="I608" s="25"/>
      <c r="J608" s="46"/>
      <c r="K608" s="26"/>
      <c r="L608" s="10"/>
      <c r="M608" s="33"/>
      <c r="N608" s="46"/>
      <c r="O608" s="50"/>
      <c r="P608" s="30"/>
    </row>
    <row r="609" spans="1:16" ht="12.75">
      <c r="A609" s="10">
        <v>2</v>
      </c>
      <c r="B609" s="5" t="s">
        <v>174</v>
      </c>
      <c r="C609" s="13"/>
      <c r="D609" s="25"/>
      <c r="E609" s="38"/>
      <c r="F609" s="13"/>
      <c r="G609" s="37"/>
      <c r="H609" s="26"/>
      <c r="I609" s="25"/>
      <c r="J609" s="46"/>
      <c r="K609" s="26"/>
      <c r="L609" s="10"/>
      <c r="M609" s="33"/>
      <c r="N609" s="46"/>
      <c r="O609" s="50"/>
      <c r="P609" s="30"/>
    </row>
    <row r="610" spans="1:16" ht="12.75">
      <c r="A610" s="10">
        <v>3</v>
      </c>
      <c r="B610" s="5" t="s">
        <v>175</v>
      </c>
      <c r="C610" s="13"/>
      <c r="D610" s="25"/>
      <c r="E610" s="38"/>
      <c r="F610" s="13"/>
      <c r="G610" s="37"/>
      <c r="H610" s="26"/>
      <c r="I610" s="25"/>
      <c r="J610" s="46"/>
      <c r="K610" s="26"/>
      <c r="L610" s="10"/>
      <c r="M610" s="33"/>
      <c r="N610" s="46"/>
      <c r="O610" s="50"/>
      <c r="P610" s="30"/>
    </row>
    <row r="611" spans="1:16" ht="12.75">
      <c r="A611" s="10">
        <v>4</v>
      </c>
      <c r="B611" s="5" t="s">
        <v>176</v>
      </c>
      <c r="C611" s="13"/>
      <c r="D611" s="25"/>
      <c r="E611" s="38"/>
      <c r="F611" s="13"/>
      <c r="G611" s="37"/>
      <c r="H611" s="26"/>
      <c r="I611" s="25"/>
      <c r="J611" s="46"/>
      <c r="K611" s="26"/>
      <c r="L611" s="10"/>
      <c r="M611" s="33"/>
      <c r="N611" s="46"/>
      <c r="O611" s="50"/>
      <c r="P611" s="30"/>
    </row>
    <row r="612" spans="1:16" ht="12.75">
      <c r="A612" s="10">
        <v>5</v>
      </c>
      <c r="B612" s="5" t="s">
        <v>177</v>
      </c>
      <c r="C612" s="13"/>
      <c r="D612" s="25"/>
      <c r="E612" s="38"/>
      <c r="F612" s="13"/>
      <c r="G612" s="37"/>
      <c r="H612" s="26"/>
      <c r="I612" s="25"/>
      <c r="J612" s="46"/>
      <c r="K612" s="26"/>
      <c r="L612" s="10"/>
      <c r="M612" s="33"/>
      <c r="N612" s="46"/>
      <c r="O612" s="50"/>
      <c r="P612" s="30"/>
    </row>
    <row r="613" spans="1:16" ht="12.75">
      <c r="A613" s="10">
        <v>6</v>
      </c>
      <c r="B613" s="5" t="s">
        <v>178</v>
      </c>
      <c r="C613" s="13"/>
      <c r="D613" s="25"/>
      <c r="E613" s="38"/>
      <c r="F613" s="13"/>
      <c r="G613" s="37"/>
      <c r="H613" s="26"/>
      <c r="I613" s="25"/>
      <c r="J613" s="46"/>
      <c r="K613" s="26"/>
      <c r="L613" s="10"/>
      <c r="M613" s="33"/>
      <c r="N613" s="46"/>
      <c r="O613" s="50"/>
      <c r="P613" s="30"/>
    </row>
    <row r="614" spans="1:16" ht="12.75">
      <c r="A614" s="10">
        <v>7</v>
      </c>
      <c r="B614" s="5" t="s">
        <v>179</v>
      </c>
      <c r="C614" s="13"/>
      <c r="D614" s="25"/>
      <c r="E614" s="38"/>
      <c r="F614" s="13"/>
      <c r="G614" s="37"/>
      <c r="H614" s="26"/>
      <c r="I614" s="25"/>
      <c r="J614" s="46"/>
      <c r="K614" s="26"/>
      <c r="L614" s="10"/>
      <c r="M614" s="33"/>
      <c r="N614" s="46"/>
      <c r="O614" s="50"/>
      <c r="P614" s="30"/>
    </row>
    <row r="615" spans="1:16" ht="12.75">
      <c r="A615" s="10">
        <v>8</v>
      </c>
      <c r="B615" s="5" t="s">
        <v>180</v>
      </c>
      <c r="C615" s="13"/>
      <c r="D615" s="25"/>
      <c r="E615" s="38"/>
      <c r="F615" s="13"/>
      <c r="G615" s="37"/>
      <c r="H615" s="26"/>
      <c r="I615" s="25"/>
      <c r="J615" s="46"/>
      <c r="K615" s="26"/>
      <c r="L615" s="10"/>
      <c r="M615" s="33"/>
      <c r="N615" s="46"/>
      <c r="O615" s="50"/>
      <c r="P615" s="30"/>
    </row>
    <row r="616" spans="1:16" ht="12.75">
      <c r="A616" s="10">
        <v>9</v>
      </c>
      <c r="B616" s="5" t="s">
        <v>181</v>
      </c>
      <c r="C616" s="13"/>
      <c r="D616" s="25"/>
      <c r="E616" s="38"/>
      <c r="F616" s="13"/>
      <c r="G616" s="37"/>
      <c r="H616" s="26"/>
      <c r="I616" s="25"/>
      <c r="J616" s="46"/>
      <c r="K616" s="26"/>
      <c r="L616" s="61"/>
      <c r="M616" s="33"/>
      <c r="N616" s="46"/>
      <c r="O616" s="50"/>
      <c r="P616" s="30"/>
    </row>
    <row r="617" spans="1:16" ht="12.75">
      <c r="A617" s="10">
        <v>10</v>
      </c>
      <c r="B617" s="5" t="s">
        <v>182</v>
      </c>
      <c r="C617" s="13"/>
      <c r="D617" s="25"/>
      <c r="E617" s="38"/>
      <c r="F617" s="13"/>
      <c r="G617" s="37"/>
      <c r="H617" s="26"/>
      <c r="I617" s="25"/>
      <c r="J617" s="46"/>
      <c r="K617" s="26"/>
      <c r="L617" s="10"/>
      <c r="M617" s="33"/>
      <c r="N617" s="46"/>
      <c r="O617" s="50"/>
      <c r="P617" s="30"/>
    </row>
    <row r="618" spans="1:16" ht="12.75">
      <c r="A618" s="10">
        <v>11</v>
      </c>
      <c r="B618" s="5" t="s">
        <v>183</v>
      </c>
      <c r="C618" s="13"/>
      <c r="D618" s="25"/>
      <c r="E618" s="38"/>
      <c r="F618" s="13"/>
      <c r="G618" s="37"/>
      <c r="H618" s="26"/>
      <c r="I618" s="25"/>
      <c r="J618" s="46"/>
      <c r="K618" s="26"/>
      <c r="L618" s="10"/>
      <c r="M618" s="33"/>
      <c r="N618" s="46"/>
      <c r="O618" s="50"/>
      <c r="P618" s="30"/>
    </row>
    <row r="619" spans="1:16" ht="12.75">
      <c r="A619" s="10">
        <v>12</v>
      </c>
      <c r="B619" s="5" t="s">
        <v>184</v>
      </c>
      <c r="C619" s="13"/>
      <c r="D619" s="25"/>
      <c r="E619" s="38"/>
      <c r="F619" s="13"/>
      <c r="G619" s="37"/>
      <c r="H619" s="26"/>
      <c r="I619" s="25"/>
      <c r="J619" s="46"/>
      <c r="K619" s="26"/>
      <c r="L619" s="10"/>
      <c r="M619" s="33"/>
      <c r="N619" s="46"/>
      <c r="O619" s="50"/>
      <c r="P619" s="30"/>
    </row>
    <row r="620" spans="1:16" ht="12.75">
      <c r="A620" s="10">
        <v>13</v>
      </c>
      <c r="B620" s="5" t="s">
        <v>185</v>
      </c>
      <c r="C620" s="13"/>
      <c r="D620" s="33"/>
      <c r="E620" s="38"/>
      <c r="F620" s="13"/>
      <c r="G620" s="37"/>
      <c r="H620" s="26"/>
      <c r="I620" s="25"/>
      <c r="J620" s="46"/>
      <c r="K620" s="26"/>
      <c r="L620" s="10"/>
      <c r="M620" s="33"/>
      <c r="N620" s="46"/>
      <c r="O620" s="50"/>
      <c r="P620" s="30"/>
    </row>
    <row r="621" spans="1:16" ht="12.75">
      <c r="A621" s="10">
        <v>14</v>
      </c>
      <c r="B621" s="5" t="s">
        <v>186</v>
      </c>
      <c r="C621" s="13"/>
      <c r="D621" s="25"/>
      <c r="E621" s="38"/>
      <c r="F621" s="13"/>
      <c r="G621" s="37"/>
      <c r="H621" s="26"/>
      <c r="I621" s="25"/>
      <c r="J621" s="46"/>
      <c r="K621" s="26"/>
      <c r="L621" s="10"/>
      <c r="M621" s="33"/>
      <c r="N621" s="46"/>
      <c r="O621" s="50"/>
      <c r="P621" s="30"/>
    </row>
    <row r="622" spans="1:16" ht="12.75">
      <c r="A622" s="10">
        <v>15</v>
      </c>
      <c r="B622" s="5" t="s">
        <v>187</v>
      </c>
      <c r="C622" s="13"/>
      <c r="D622" s="25"/>
      <c r="E622" s="38"/>
      <c r="F622" s="13"/>
      <c r="G622" s="37"/>
      <c r="H622" s="26"/>
      <c r="I622" s="25"/>
      <c r="J622" s="46"/>
      <c r="K622" s="26"/>
      <c r="L622" s="10"/>
      <c r="M622" s="33"/>
      <c r="N622" s="46"/>
      <c r="O622" s="50"/>
      <c r="P622" s="30"/>
    </row>
    <row r="623" spans="1:16" ht="12.75">
      <c r="A623" s="10">
        <v>16</v>
      </c>
      <c r="B623" s="5" t="s">
        <v>188</v>
      </c>
      <c r="C623" s="13"/>
      <c r="D623" s="25"/>
      <c r="E623" s="38"/>
      <c r="F623" s="13"/>
      <c r="G623" s="37"/>
      <c r="H623" s="26"/>
      <c r="I623" s="25"/>
      <c r="J623" s="46"/>
      <c r="K623" s="26"/>
      <c r="L623" s="10"/>
      <c r="M623" s="33"/>
      <c r="N623" s="46"/>
      <c r="O623" s="50"/>
      <c r="P623" s="30"/>
    </row>
    <row r="624" spans="1:16" ht="12.75">
      <c r="A624" s="10">
        <v>17</v>
      </c>
      <c r="B624" s="5" t="s">
        <v>189</v>
      </c>
      <c r="C624" s="13"/>
      <c r="D624" s="25"/>
      <c r="E624" s="38"/>
      <c r="F624" s="13"/>
      <c r="G624" s="37"/>
      <c r="H624" s="26"/>
      <c r="I624" s="25"/>
      <c r="J624" s="46"/>
      <c r="K624" s="26"/>
      <c r="L624" s="10"/>
      <c r="M624" s="33"/>
      <c r="N624" s="46"/>
      <c r="O624" s="50"/>
      <c r="P624" s="30"/>
    </row>
    <row r="625" spans="1:16" ht="12.75">
      <c r="A625" s="10">
        <v>18</v>
      </c>
      <c r="B625" s="5" t="s">
        <v>190</v>
      </c>
      <c r="C625" s="13"/>
      <c r="D625" s="25"/>
      <c r="E625" s="38"/>
      <c r="F625" s="10"/>
      <c r="G625" s="37"/>
      <c r="H625" s="26"/>
      <c r="I625" s="25"/>
      <c r="J625" s="46"/>
      <c r="K625" s="26"/>
      <c r="L625" s="10"/>
      <c r="M625" s="33"/>
      <c r="N625" s="46"/>
      <c r="O625" s="50"/>
      <c r="P625" s="30"/>
    </row>
    <row r="626" spans="1:16" ht="12.75">
      <c r="A626" s="10">
        <v>19</v>
      </c>
      <c r="B626" s="5" t="s">
        <v>191</v>
      </c>
      <c r="C626" s="13"/>
      <c r="D626" s="25"/>
      <c r="E626" s="38"/>
      <c r="F626" s="13"/>
      <c r="G626" s="37"/>
      <c r="H626" s="26"/>
      <c r="I626" s="25"/>
      <c r="J626" s="46"/>
      <c r="K626" s="26"/>
      <c r="L626" s="10"/>
      <c r="M626" s="33"/>
      <c r="N626" s="46"/>
      <c r="O626" s="50"/>
      <c r="P626" s="30"/>
    </row>
    <row r="627" spans="1:16" ht="12.75">
      <c r="A627" s="10">
        <v>20</v>
      </c>
      <c r="B627" s="5" t="s">
        <v>192</v>
      </c>
      <c r="C627" s="13"/>
      <c r="D627" s="25"/>
      <c r="E627" s="38"/>
      <c r="F627" s="13"/>
      <c r="G627" s="37"/>
      <c r="H627" s="26"/>
      <c r="I627" s="25"/>
      <c r="J627" s="46"/>
      <c r="K627" s="26"/>
      <c r="L627" s="10"/>
      <c r="M627" s="33"/>
      <c r="N627" s="46"/>
      <c r="O627" s="50"/>
      <c r="P627" s="30"/>
    </row>
    <row r="628" spans="1:16" ht="12.75">
      <c r="A628" s="10">
        <v>21</v>
      </c>
      <c r="B628" s="5" t="s">
        <v>193</v>
      </c>
      <c r="C628" s="13"/>
      <c r="D628" s="25"/>
      <c r="E628" s="38"/>
      <c r="F628" s="13"/>
      <c r="G628" s="37"/>
      <c r="H628" s="26"/>
      <c r="I628" s="25"/>
      <c r="J628" s="46"/>
      <c r="K628" s="26"/>
      <c r="L628" s="10"/>
      <c r="M628" s="33"/>
      <c r="N628" s="46"/>
      <c r="O628" s="50"/>
      <c r="P628" s="30"/>
    </row>
    <row r="629" spans="1:16" ht="12.75">
      <c r="A629" s="10">
        <v>22</v>
      </c>
      <c r="B629" s="5" t="s">
        <v>194</v>
      </c>
      <c r="C629" s="13"/>
      <c r="D629" s="25"/>
      <c r="E629" s="38"/>
      <c r="F629" s="13"/>
      <c r="G629" s="37"/>
      <c r="H629" s="26"/>
      <c r="I629" s="25"/>
      <c r="J629" s="46"/>
      <c r="K629" s="26"/>
      <c r="L629" s="10"/>
      <c r="M629" s="33"/>
      <c r="N629" s="46"/>
      <c r="O629" s="50"/>
      <c r="P629" s="30"/>
    </row>
    <row r="630" spans="1:16" ht="12.75">
      <c r="A630" s="10">
        <v>23</v>
      </c>
      <c r="B630" s="5" t="s">
        <v>195</v>
      </c>
      <c r="C630" s="13"/>
      <c r="D630" s="25"/>
      <c r="E630" s="38"/>
      <c r="F630" s="13"/>
      <c r="G630" s="37"/>
      <c r="H630" s="26"/>
      <c r="I630" s="25"/>
      <c r="J630" s="46"/>
      <c r="K630" s="26"/>
      <c r="L630" s="10"/>
      <c r="M630" s="33"/>
      <c r="N630" s="46"/>
      <c r="O630" s="50"/>
      <c r="P630" s="30"/>
    </row>
    <row r="631" spans="1:16" ht="12.75">
      <c r="A631" s="10">
        <v>24</v>
      </c>
      <c r="B631" s="5" t="s">
        <v>196</v>
      </c>
      <c r="C631" s="13"/>
      <c r="D631" s="25"/>
      <c r="E631" s="38"/>
      <c r="F631" s="13"/>
      <c r="G631" s="37"/>
      <c r="H631" s="26"/>
      <c r="I631" s="25"/>
      <c r="J631" s="46"/>
      <c r="K631" s="26"/>
      <c r="L631" s="10"/>
      <c r="M631" s="33"/>
      <c r="N631" s="46"/>
      <c r="O631" s="50"/>
      <c r="P631" s="30"/>
    </row>
    <row r="632" spans="1:16" ht="12.75">
      <c r="A632" s="10">
        <v>25</v>
      </c>
      <c r="B632" s="5" t="s">
        <v>197</v>
      </c>
      <c r="C632" s="13"/>
      <c r="D632" s="25"/>
      <c r="E632" s="38"/>
      <c r="F632" s="13"/>
      <c r="G632" s="37"/>
      <c r="H632" s="26"/>
      <c r="I632" s="25"/>
      <c r="J632" s="46"/>
      <c r="K632" s="26"/>
      <c r="L632" s="10"/>
      <c r="M632" s="33"/>
      <c r="N632" s="46"/>
      <c r="O632" s="50"/>
      <c r="P632" s="30"/>
    </row>
    <row r="633" spans="1:16" ht="12.75">
      <c r="A633" s="10">
        <v>26</v>
      </c>
      <c r="B633" s="5" t="s">
        <v>198</v>
      </c>
      <c r="C633" s="13"/>
      <c r="D633" s="25"/>
      <c r="E633" s="38"/>
      <c r="F633" s="13"/>
      <c r="G633" s="37"/>
      <c r="H633" s="26"/>
      <c r="I633" s="25"/>
      <c r="J633" s="46"/>
      <c r="K633" s="26"/>
      <c r="L633" s="10"/>
      <c r="M633" s="33"/>
      <c r="N633" s="46"/>
      <c r="O633" s="50"/>
      <c r="P633" s="30"/>
    </row>
    <row r="634" spans="1:16" ht="12.75">
      <c r="A634" s="10">
        <v>27</v>
      </c>
      <c r="B634" s="5" t="s">
        <v>199</v>
      </c>
      <c r="C634" s="13"/>
      <c r="D634" s="25"/>
      <c r="E634" s="38"/>
      <c r="F634" s="13"/>
      <c r="G634" s="37"/>
      <c r="H634" s="26"/>
      <c r="I634" s="25"/>
      <c r="J634" s="46"/>
      <c r="K634" s="26"/>
      <c r="L634" s="10"/>
      <c r="M634" s="33"/>
      <c r="N634" s="46"/>
      <c r="O634" s="50"/>
      <c r="P634" s="30"/>
    </row>
    <row r="635" spans="1:16" ht="12.75">
      <c r="A635" s="10">
        <v>28</v>
      </c>
      <c r="B635" s="5" t="s">
        <v>200</v>
      </c>
      <c r="C635" s="13"/>
      <c r="D635" s="25"/>
      <c r="E635" s="38"/>
      <c r="F635" s="13"/>
      <c r="G635" s="37"/>
      <c r="H635" s="26"/>
      <c r="I635" s="25"/>
      <c r="J635" s="46"/>
      <c r="K635" s="26"/>
      <c r="L635" s="10"/>
      <c r="M635" s="33"/>
      <c r="N635" s="46"/>
      <c r="O635" s="50"/>
      <c r="P635" s="30"/>
    </row>
    <row r="636" spans="1:16" ht="12.75">
      <c r="A636" s="10">
        <v>29</v>
      </c>
      <c r="B636" s="5" t="s">
        <v>201</v>
      </c>
      <c r="C636" s="13"/>
      <c r="D636" s="25"/>
      <c r="E636" s="38"/>
      <c r="F636" s="13"/>
      <c r="G636" s="37"/>
      <c r="H636" s="26"/>
      <c r="I636" s="25"/>
      <c r="J636" s="46"/>
      <c r="K636" s="26"/>
      <c r="L636" s="10"/>
      <c r="M636" s="33"/>
      <c r="N636" s="46"/>
      <c r="O636" s="50"/>
      <c r="P636" s="30"/>
    </row>
    <row r="637" spans="1:16" ht="12.75">
      <c r="A637" s="10">
        <v>30</v>
      </c>
      <c r="B637" s="5" t="s">
        <v>202</v>
      </c>
      <c r="C637" s="13"/>
      <c r="D637" s="25"/>
      <c r="E637" s="38"/>
      <c r="F637" s="13"/>
      <c r="G637" s="37"/>
      <c r="H637" s="26"/>
      <c r="I637" s="25"/>
      <c r="J637" s="46"/>
      <c r="K637" s="26"/>
      <c r="L637" s="10"/>
      <c r="M637" s="33"/>
      <c r="N637" s="46"/>
      <c r="O637" s="50"/>
      <c r="P637" s="30"/>
    </row>
    <row r="638" spans="1:16" ht="12.75">
      <c r="A638" s="10">
        <v>31</v>
      </c>
      <c r="B638" s="5" t="s">
        <v>203</v>
      </c>
      <c r="C638" s="13"/>
      <c r="D638" s="25"/>
      <c r="E638" s="38"/>
      <c r="F638" s="13"/>
      <c r="G638" s="37"/>
      <c r="H638" s="26"/>
      <c r="I638" s="25"/>
      <c r="J638" s="46"/>
      <c r="K638" s="26"/>
      <c r="L638" s="10"/>
      <c r="M638" s="33"/>
      <c r="N638" s="46"/>
      <c r="O638" s="50"/>
      <c r="P638" s="30"/>
    </row>
    <row r="639" spans="1:16" ht="12.75">
      <c r="A639" s="10">
        <v>32</v>
      </c>
      <c r="B639" s="5" t="s">
        <v>204</v>
      </c>
      <c r="C639" s="13"/>
      <c r="D639" s="25"/>
      <c r="E639" s="38"/>
      <c r="F639" s="13"/>
      <c r="G639" s="37"/>
      <c r="H639" s="26"/>
      <c r="I639" s="25"/>
      <c r="J639" s="46"/>
      <c r="K639" s="26"/>
      <c r="L639" s="10"/>
      <c r="M639" s="33"/>
      <c r="N639" s="46"/>
      <c r="O639" s="50"/>
      <c r="P639" s="30"/>
    </row>
    <row r="640" spans="1:16" ht="12.75">
      <c r="A640" s="10">
        <v>33</v>
      </c>
      <c r="B640" s="5" t="s">
        <v>205</v>
      </c>
      <c r="C640" s="13"/>
      <c r="D640" s="25"/>
      <c r="E640" s="38"/>
      <c r="F640" s="13"/>
      <c r="G640" s="37"/>
      <c r="H640" s="26"/>
      <c r="I640" s="25"/>
      <c r="J640" s="46"/>
      <c r="K640" s="26"/>
      <c r="L640" s="10"/>
      <c r="M640" s="33"/>
      <c r="N640" s="46"/>
      <c r="O640" s="50"/>
      <c r="P640" s="30"/>
    </row>
    <row r="641" spans="1:16" ht="12.75">
      <c r="A641" s="10"/>
      <c r="B641" s="22"/>
      <c r="C641" s="22"/>
      <c r="D641" s="25"/>
      <c r="E641" s="38"/>
      <c r="F641" s="22"/>
      <c r="G641" s="40"/>
      <c r="H641" s="34"/>
      <c r="I641" s="44"/>
      <c r="J641" s="46"/>
      <c r="K641" s="34"/>
      <c r="L641" s="22"/>
      <c r="M641" s="33"/>
      <c r="N641" s="46"/>
      <c r="O641" s="50"/>
      <c r="P641" s="30"/>
    </row>
    <row r="642" spans="1:16" ht="12.75">
      <c r="A642" s="10">
        <v>34</v>
      </c>
      <c r="B642" s="5" t="s">
        <v>206</v>
      </c>
      <c r="C642" s="13"/>
      <c r="D642" s="25"/>
      <c r="E642" s="38"/>
      <c r="F642" s="13"/>
      <c r="G642" s="37"/>
      <c r="H642" s="26"/>
      <c r="I642" s="25"/>
      <c r="J642" s="46"/>
      <c r="K642" s="26"/>
      <c r="L642" s="10"/>
      <c r="M642" s="33"/>
      <c r="N642" s="46"/>
      <c r="O642" s="50"/>
      <c r="P642" s="30"/>
    </row>
    <row r="643" spans="1:16" ht="12.75">
      <c r="A643" s="10">
        <v>35</v>
      </c>
      <c r="B643" s="5" t="s">
        <v>207</v>
      </c>
      <c r="C643" s="13"/>
      <c r="D643" s="25"/>
      <c r="E643" s="38"/>
      <c r="F643" s="13"/>
      <c r="G643" s="37"/>
      <c r="H643" s="26"/>
      <c r="I643" s="25"/>
      <c r="J643" s="46"/>
      <c r="K643" s="26"/>
      <c r="L643" s="10"/>
      <c r="M643" s="33"/>
      <c r="N643" s="46"/>
      <c r="O643" s="50"/>
      <c r="P643" s="30"/>
    </row>
    <row r="644" spans="1:16" ht="12.75">
      <c r="A644" s="10">
        <v>36</v>
      </c>
      <c r="B644" s="5" t="s">
        <v>208</v>
      </c>
      <c r="C644" s="13"/>
      <c r="D644" s="25"/>
      <c r="E644" s="38"/>
      <c r="F644" s="13"/>
      <c r="G644" s="37"/>
      <c r="H644" s="26"/>
      <c r="I644" s="25"/>
      <c r="J644" s="46"/>
      <c r="K644" s="26"/>
      <c r="L644" s="10"/>
      <c r="M644" s="33"/>
      <c r="N644" s="46"/>
      <c r="O644" s="50"/>
      <c r="P644" s="30"/>
    </row>
    <row r="645" spans="1:16" ht="12.75">
      <c r="A645" s="10">
        <v>37</v>
      </c>
      <c r="B645" s="5" t="s">
        <v>209</v>
      </c>
      <c r="C645" s="13"/>
      <c r="D645" s="25"/>
      <c r="E645" s="38"/>
      <c r="F645" s="13"/>
      <c r="G645" s="37"/>
      <c r="H645" s="26"/>
      <c r="I645" s="25"/>
      <c r="J645" s="46"/>
      <c r="K645" s="26"/>
      <c r="L645" s="10"/>
      <c r="M645" s="33"/>
      <c r="N645" s="46"/>
      <c r="O645" s="50"/>
      <c r="P645" s="30"/>
    </row>
    <row r="646" spans="1:16" ht="12.75">
      <c r="A646" s="10">
        <v>38</v>
      </c>
      <c r="B646" s="5" t="s">
        <v>210</v>
      </c>
      <c r="C646" s="13"/>
      <c r="D646" s="25"/>
      <c r="E646" s="38"/>
      <c r="F646" s="13"/>
      <c r="G646" s="37"/>
      <c r="H646" s="26"/>
      <c r="I646" s="25"/>
      <c r="J646" s="46"/>
      <c r="K646" s="26"/>
      <c r="L646" s="10"/>
      <c r="M646" s="33"/>
      <c r="N646" s="46"/>
      <c r="O646" s="50"/>
      <c r="P646" s="30"/>
    </row>
    <row r="647" spans="1:16" ht="12.75">
      <c r="A647" s="10">
        <v>39</v>
      </c>
      <c r="B647" s="5" t="s">
        <v>211</v>
      </c>
      <c r="C647" s="13"/>
      <c r="D647" s="25"/>
      <c r="E647" s="38"/>
      <c r="F647" s="13"/>
      <c r="G647" s="37"/>
      <c r="H647" s="26"/>
      <c r="I647" s="25"/>
      <c r="J647" s="46"/>
      <c r="K647" s="26"/>
      <c r="L647" s="10"/>
      <c r="M647" s="33"/>
      <c r="N647" s="46"/>
      <c r="O647" s="50"/>
      <c r="P647" s="30"/>
    </row>
    <row r="648" spans="1:16" ht="12.75">
      <c r="A648" s="10">
        <v>40</v>
      </c>
      <c r="B648" s="5" t="s">
        <v>212</v>
      </c>
      <c r="C648" s="13"/>
      <c r="D648" s="25"/>
      <c r="E648" s="38"/>
      <c r="F648" s="13"/>
      <c r="G648" s="37"/>
      <c r="H648" s="26"/>
      <c r="I648" s="25"/>
      <c r="J648" s="46"/>
      <c r="K648" s="26"/>
      <c r="L648" s="10"/>
      <c r="M648" s="33"/>
      <c r="N648" s="46"/>
      <c r="O648" s="50"/>
      <c r="P648" s="30"/>
    </row>
    <row r="649" spans="1:16" ht="12.75">
      <c r="A649" s="10">
        <v>41</v>
      </c>
      <c r="B649" s="5" t="s">
        <v>213</v>
      </c>
      <c r="C649" s="13"/>
      <c r="D649" s="25"/>
      <c r="E649" s="38"/>
      <c r="F649" s="13"/>
      <c r="G649" s="37"/>
      <c r="H649" s="26"/>
      <c r="I649" s="25"/>
      <c r="J649" s="46"/>
      <c r="K649" s="26"/>
      <c r="L649" s="10"/>
      <c r="M649" s="33"/>
      <c r="N649" s="46"/>
      <c r="O649" s="50"/>
      <c r="P649" s="30"/>
    </row>
    <row r="650" spans="1:16" ht="12.75">
      <c r="A650" s="10">
        <v>42</v>
      </c>
      <c r="B650" s="5" t="s">
        <v>214</v>
      </c>
      <c r="C650" s="13"/>
      <c r="D650" s="25"/>
      <c r="E650" s="38"/>
      <c r="F650" s="13"/>
      <c r="G650" s="37"/>
      <c r="H650" s="26"/>
      <c r="I650" s="25"/>
      <c r="J650" s="46"/>
      <c r="K650" s="26"/>
      <c r="L650" s="10"/>
      <c r="M650" s="33"/>
      <c r="N650" s="46"/>
      <c r="O650" s="50"/>
      <c r="P650" s="30"/>
    </row>
    <row r="651" spans="1:16" ht="12.75">
      <c r="A651" s="10">
        <v>43</v>
      </c>
      <c r="B651" s="5" t="s">
        <v>215</v>
      </c>
      <c r="C651" s="13"/>
      <c r="D651" s="25"/>
      <c r="E651" s="38"/>
      <c r="F651" s="13"/>
      <c r="G651" s="37"/>
      <c r="H651" s="26"/>
      <c r="I651" s="25"/>
      <c r="J651" s="46"/>
      <c r="K651" s="26"/>
      <c r="L651" s="10"/>
      <c r="M651" s="33"/>
      <c r="N651" s="46"/>
      <c r="O651" s="50"/>
      <c r="P651" s="30"/>
    </row>
    <row r="652" spans="1:16" ht="12.75">
      <c r="A652" s="10">
        <v>44</v>
      </c>
      <c r="B652" s="5" t="s">
        <v>216</v>
      </c>
      <c r="C652" s="13"/>
      <c r="D652" s="25"/>
      <c r="E652" s="38"/>
      <c r="F652" s="13"/>
      <c r="G652" s="37"/>
      <c r="H652" s="26"/>
      <c r="I652" s="25"/>
      <c r="J652" s="46"/>
      <c r="K652" s="26"/>
      <c r="L652" s="10"/>
      <c r="M652" s="33"/>
      <c r="N652" s="46"/>
      <c r="O652" s="50"/>
      <c r="P652" s="30"/>
    </row>
    <row r="653" spans="1:16" ht="12.75">
      <c r="A653" s="10">
        <v>45</v>
      </c>
      <c r="B653" s="5" t="s">
        <v>217</v>
      </c>
      <c r="C653" s="13"/>
      <c r="D653" s="25"/>
      <c r="E653" s="38"/>
      <c r="F653" s="13"/>
      <c r="G653" s="37"/>
      <c r="H653" s="26"/>
      <c r="I653" s="25"/>
      <c r="J653" s="46"/>
      <c r="K653" s="26"/>
      <c r="L653" s="10"/>
      <c r="M653" s="33"/>
      <c r="N653" s="46"/>
      <c r="O653" s="50"/>
      <c r="P653" s="30"/>
    </row>
    <row r="654" spans="1:16" ht="13.5" thickBot="1">
      <c r="A654" s="10">
        <v>46</v>
      </c>
      <c r="B654" s="5" t="s">
        <v>449</v>
      </c>
      <c r="C654" s="10"/>
      <c r="D654" s="25"/>
      <c r="E654" s="38"/>
      <c r="F654" s="13"/>
      <c r="G654" s="37"/>
      <c r="H654" s="26"/>
      <c r="I654" s="25"/>
      <c r="J654" s="46"/>
      <c r="K654" s="26"/>
      <c r="L654" s="10"/>
      <c r="M654" s="73"/>
      <c r="N654" s="46"/>
      <c r="O654" s="50"/>
      <c r="P654" s="30"/>
    </row>
    <row r="655" spans="1:16" ht="13.5" thickBot="1">
      <c r="A655" s="23">
        <v>47</v>
      </c>
      <c r="B655" s="65" t="s">
        <v>527</v>
      </c>
      <c r="C655" s="23"/>
      <c r="D655" s="66"/>
      <c r="E655" s="67"/>
      <c r="F655" s="68"/>
      <c r="G655" s="69"/>
      <c r="H655" s="70"/>
      <c r="I655" s="66"/>
      <c r="J655" s="46"/>
      <c r="K655" s="72"/>
      <c r="L655" s="23"/>
      <c r="M655" s="85"/>
      <c r="N655" s="46"/>
      <c r="O655" s="50"/>
      <c r="P655" s="30"/>
    </row>
    <row r="656" spans="1:16" ht="13.5" thickBot="1">
      <c r="A656" s="77"/>
      <c r="B656" s="78" t="s">
        <v>243</v>
      </c>
      <c r="C656" s="79"/>
      <c r="D656" s="80"/>
      <c r="E656" s="81"/>
      <c r="F656" s="82"/>
      <c r="G656" s="83"/>
      <c r="H656" s="84"/>
      <c r="I656" s="85"/>
      <c r="J656" s="46"/>
      <c r="K656" s="84"/>
      <c r="L656" s="87"/>
      <c r="M656" s="80"/>
      <c r="N656" s="86"/>
      <c r="O656" s="50"/>
      <c r="P656" s="30"/>
    </row>
    <row r="681" spans="1:16" ht="12.75">
      <c r="A681" s="29"/>
      <c r="B681" s="29"/>
      <c r="C681" s="120"/>
      <c r="D681" s="9" t="s">
        <v>222</v>
      </c>
      <c r="E681" s="9"/>
      <c r="F681" s="9"/>
      <c r="G681" s="9"/>
      <c r="H681" s="9"/>
      <c r="I681" s="9"/>
      <c r="J681" s="9"/>
      <c r="K681" s="9"/>
      <c r="L681" s="120"/>
      <c r="M681" s="29"/>
      <c r="N681" s="29"/>
      <c r="O681" s="29"/>
      <c r="P681" s="29"/>
    </row>
    <row r="682" spans="1:16" ht="13.5" thickBot="1">
      <c r="A682" s="29"/>
      <c r="B682" s="29"/>
      <c r="C682" s="120"/>
      <c r="D682" s="9"/>
      <c r="E682" s="9"/>
      <c r="F682" s="9"/>
      <c r="G682" s="9"/>
      <c r="H682" s="9"/>
      <c r="I682" s="9"/>
      <c r="J682" s="9" t="s">
        <v>526</v>
      </c>
      <c r="K682" s="9"/>
      <c r="L682" s="120"/>
      <c r="M682" s="29"/>
      <c r="N682" s="121"/>
      <c r="O682" s="121"/>
      <c r="P682" s="121"/>
    </row>
    <row r="683" spans="1:19" ht="12.75">
      <c r="A683" s="198" t="s">
        <v>0</v>
      </c>
      <c r="B683" s="201" t="s">
        <v>167</v>
      </c>
      <c r="C683" s="188" t="s">
        <v>165</v>
      </c>
      <c r="D683" s="145"/>
      <c r="E683" s="183" t="s">
        <v>565</v>
      </c>
      <c r="F683" s="184"/>
      <c r="G683" s="185"/>
      <c r="H683" s="186" t="s">
        <v>221</v>
      </c>
      <c r="I683" s="186"/>
      <c r="J683" s="186"/>
      <c r="K683" s="186"/>
      <c r="L683" s="186"/>
      <c r="M683" s="186"/>
      <c r="N683" s="186"/>
      <c r="O683" s="187"/>
      <c r="P683" s="188" t="s">
        <v>172</v>
      </c>
      <c r="Q683" s="122" t="s">
        <v>573</v>
      </c>
      <c r="R683" s="9"/>
      <c r="S683" s="9"/>
    </row>
    <row r="684" spans="1:19" ht="13.5" thickBot="1">
      <c r="A684" s="199"/>
      <c r="B684" s="202"/>
      <c r="C684" s="189"/>
      <c r="D684" s="146"/>
      <c r="E684" s="191" t="s">
        <v>169</v>
      </c>
      <c r="F684" s="193" t="s">
        <v>163</v>
      </c>
      <c r="G684" s="194"/>
      <c r="H684" s="195" t="s">
        <v>166</v>
      </c>
      <c r="I684" s="195"/>
      <c r="J684" s="196"/>
      <c r="K684" s="195"/>
      <c r="L684" s="195"/>
      <c r="M684" s="195"/>
      <c r="N684" s="196"/>
      <c r="O684" s="197"/>
      <c r="P684" s="189"/>
      <c r="Q684" s="9"/>
      <c r="R684" s="9"/>
      <c r="S684" s="9"/>
    </row>
    <row r="685" spans="1:16" ht="78.75">
      <c r="A685" s="200"/>
      <c r="B685" s="170"/>
      <c r="C685" s="190"/>
      <c r="D685" s="147"/>
      <c r="E685" s="192"/>
      <c r="F685" s="6" t="s">
        <v>164</v>
      </c>
      <c r="G685" s="35"/>
      <c r="H685" s="28" t="s">
        <v>158</v>
      </c>
      <c r="I685" s="27" t="s">
        <v>159</v>
      </c>
      <c r="J685" s="45" t="s">
        <v>168</v>
      </c>
      <c r="K685" s="28" t="s">
        <v>160</v>
      </c>
      <c r="L685" s="6" t="s">
        <v>161</v>
      </c>
      <c r="M685" s="25" t="s">
        <v>162</v>
      </c>
      <c r="N685" s="52" t="s">
        <v>170</v>
      </c>
      <c r="O685" s="28" t="s">
        <v>171</v>
      </c>
      <c r="P685" s="190"/>
    </row>
    <row r="686" spans="1:16" ht="12.75">
      <c r="A686" s="10">
        <v>1</v>
      </c>
      <c r="B686" s="10">
        <v>2</v>
      </c>
      <c r="C686" s="10">
        <v>3</v>
      </c>
      <c r="D686" s="31"/>
      <c r="E686" s="36">
        <v>4</v>
      </c>
      <c r="F686" s="10">
        <v>5</v>
      </c>
      <c r="G686" s="37">
        <v>6</v>
      </c>
      <c r="H686" s="26">
        <v>7</v>
      </c>
      <c r="I686" s="25">
        <v>8</v>
      </c>
      <c r="J686" s="46">
        <v>9</v>
      </c>
      <c r="K686" s="26">
        <v>10</v>
      </c>
      <c r="L686" s="10">
        <v>11</v>
      </c>
      <c r="M686" s="25">
        <v>12</v>
      </c>
      <c r="N686" s="46">
        <v>13</v>
      </c>
      <c r="O686" s="26">
        <v>14</v>
      </c>
      <c r="P686" s="10">
        <v>15</v>
      </c>
    </row>
    <row r="687" spans="1:16" ht="12.75">
      <c r="A687" s="10">
        <v>1</v>
      </c>
      <c r="B687" s="5" t="s">
        <v>173</v>
      </c>
      <c r="C687" s="13">
        <v>4595.66</v>
      </c>
      <c r="D687" s="25"/>
      <c r="E687" s="38">
        <f>F687+G687</f>
        <v>72872.81</v>
      </c>
      <c r="F687" s="59">
        <v>72872.81</v>
      </c>
      <c r="G687" s="37"/>
      <c r="H687" s="26">
        <v>0</v>
      </c>
      <c r="I687" s="25">
        <v>17931</v>
      </c>
      <c r="J687" s="46">
        <f>H687+I687</f>
        <v>17931</v>
      </c>
      <c r="K687" s="26">
        <v>17881</v>
      </c>
      <c r="L687" s="10">
        <v>5653</v>
      </c>
      <c r="M687" s="33">
        <v>296</v>
      </c>
      <c r="N687" s="46">
        <f>J687+K687+L687+M687</f>
        <v>41761</v>
      </c>
      <c r="O687" s="50">
        <f>N687/C687/3</f>
        <v>3.0290172322002356</v>
      </c>
      <c r="P687" s="30">
        <f>E687-N687</f>
        <v>31111.809999999998</v>
      </c>
    </row>
    <row r="688" spans="1:16" ht="12.75">
      <c r="A688" s="10">
        <v>2</v>
      </c>
      <c r="B688" s="5" t="s">
        <v>174</v>
      </c>
      <c r="C688" s="13">
        <v>2974.92</v>
      </c>
      <c r="D688" s="25"/>
      <c r="E688" s="38">
        <f>F688+G688</f>
        <v>419903.73</v>
      </c>
      <c r="F688" s="13">
        <v>419903.73</v>
      </c>
      <c r="G688" s="37"/>
      <c r="H688" s="26">
        <v>93939</v>
      </c>
      <c r="I688" s="25">
        <v>128420</v>
      </c>
      <c r="J688" s="46">
        <f aca="true" t="shared" si="46" ref="J688:J733">H688+I688</f>
        <v>222359</v>
      </c>
      <c r="K688" s="60">
        <v>208965</v>
      </c>
      <c r="L688" s="10">
        <v>16235</v>
      </c>
      <c r="M688" s="33">
        <v>1941</v>
      </c>
      <c r="N688" s="46">
        <f aca="true" t="shared" si="47" ref="N688:N733">J688+K688+L688+M688</f>
        <v>449500</v>
      </c>
      <c r="O688" s="50">
        <f>N688/C688/12</f>
        <v>12.59137500616263</v>
      </c>
      <c r="P688" s="30">
        <f aca="true" t="shared" si="48" ref="P688:P735">E688-N688</f>
        <v>-29596.27000000002</v>
      </c>
    </row>
    <row r="689" spans="1:16" ht="12.75">
      <c r="A689" s="10">
        <v>3</v>
      </c>
      <c r="B689" s="5" t="s">
        <v>175</v>
      </c>
      <c r="C689" s="13">
        <v>7057.96</v>
      </c>
      <c r="D689" s="25"/>
      <c r="E689" s="38">
        <f aca="true" t="shared" si="49" ref="E689:E734">F689+G689</f>
        <v>918024.17</v>
      </c>
      <c r="F689" s="13">
        <v>918024.17</v>
      </c>
      <c r="G689" s="37"/>
      <c r="H689" s="26">
        <v>197802</v>
      </c>
      <c r="I689" s="25">
        <v>267550</v>
      </c>
      <c r="J689" s="46">
        <f t="shared" si="46"/>
        <v>465352</v>
      </c>
      <c r="K689" s="60">
        <v>373418</v>
      </c>
      <c r="L689" s="10">
        <v>48519</v>
      </c>
      <c r="M689" s="33">
        <v>4606</v>
      </c>
      <c r="N689" s="46">
        <f t="shared" si="47"/>
        <v>891895</v>
      </c>
      <c r="O689" s="50">
        <f aca="true" t="shared" si="50" ref="O689:O719">N689/C689/12</f>
        <v>10.530604216137997</v>
      </c>
      <c r="P689" s="30">
        <f t="shared" si="48"/>
        <v>26129.170000000042</v>
      </c>
    </row>
    <row r="690" spans="1:16" ht="12.75">
      <c r="A690" s="10">
        <v>4</v>
      </c>
      <c r="B690" s="5" t="s">
        <v>176</v>
      </c>
      <c r="C690" s="13">
        <v>1879.75</v>
      </c>
      <c r="D690" s="25"/>
      <c r="E690" s="38">
        <f t="shared" si="49"/>
        <v>243802.3</v>
      </c>
      <c r="F690" s="13">
        <v>243802.3</v>
      </c>
      <c r="G690" s="37"/>
      <c r="H690" s="26">
        <v>59338</v>
      </c>
      <c r="I690" s="25">
        <v>78326</v>
      </c>
      <c r="J690" s="46">
        <f t="shared" si="46"/>
        <v>137664</v>
      </c>
      <c r="K690" s="60">
        <v>74099</v>
      </c>
      <c r="L690" s="10">
        <v>9961</v>
      </c>
      <c r="M690" s="33">
        <v>1226</v>
      </c>
      <c r="N690" s="46">
        <f t="shared" si="47"/>
        <v>222950</v>
      </c>
      <c r="O690" s="50">
        <f t="shared" si="50"/>
        <v>9.883849802721993</v>
      </c>
      <c r="P690" s="30">
        <f t="shared" si="48"/>
        <v>20852.29999999999</v>
      </c>
    </row>
    <row r="691" spans="1:16" ht="12.75">
      <c r="A691" s="10">
        <v>5</v>
      </c>
      <c r="B691" s="5" t="s">
        <v>177</v>
      </c>
      <c r="C691" s="13">
        <v>4438.99</v>
      </c>
      <c r="D691" s="25"/>
      <c r="E691" s="38">
        <f t="shared" si="49"/>
        <v>626123.78</v>
      </c>
      <c r="F691" s="13">
        <v>626123.78</v>
      </c>
      <c r="G691" s="37"/>
      <c r="H691" s="26">
        <v>140170</v>
      </c>
      <c r="I691" s="25">
        <v>160241</v>
      </c>
      <c r="J691" s="46">
        <f t="shared" si="46"/>
        <v>300411</v>
      </c>
      <c r="K691" s="60">
        <v>310676</v>
      </c>
      <c r="L691" s="10">
        <v>24225</v>
      </c>
      <c r="M691" s="33">
        <v>2897</v>
      </c>
      <c r="N691" s="46">
        <f t="shared" si="47"/>
        <v>638209</v>
      </c>
      <c r="O691" s="50">
        <f t="shared" si="50"/>
        <v>11.981122582689606</v>
      </c>
      <c r="P691" s="30">
        <f t="shared" si="48"/>
        <v>-12085.219999999972</v>
      </c>
    </row>
    <row r="692" spans="1:16" ht="12.75">
      <c r="A692" s="10">
        <v>6</v>
      </c>
      <c r="B692" s="5" t="s">
        <v>178</v>
      </c>
      <c r="C692" s="13">
        <v>7001.3</v>
      </c>
      <c r="D692" s="25"/>
      <c r="E692" s="38">
        <f t="shared" si="49"/>
        <v>880377.45</v>
      </c>
      <c r="F692" s="13">
        <v>880377.45</v>
      </c>
      <c r="G692" s="37"/>
      <c r="H692" s="26">
        <v>195993</v>
      </c>
      <c r="I692" s="25">
        <v>274861</v>
      </c>
      <c r="J692" s="46">
        <f t="shared" si="46"/>
        <v>470854</v>
      </c>
      <c r="K692" s="26">
        <v>429323</v>
      </c>
      <c r="L692" s="10">
        <v>38209</v>
      </c>
      <c r="M692" s="33">
        <v>8627</v>
      </c>
      <c r="N692" s="46">
        <f t="shared" si="47"/>
        <v>947013</v>
      </c>
      <c r="O692" s="50">
        <f t="shared" si="50"/>
        <v>11.271870938254324</v>
      </c>
      <c r="P692" s="30">
        <f t="shared" si="48"/>
        <v>-66635.55000000005</v>
      </c>
    </row>
    <row r="693" spans="1:16" ht="12.75">
      <c r="A693" s="10">
        <v>7</v>
      </c>
      <c r="B693" s="5" t="s">
        <v>179</v>
      </c>
      <c r="C693" s="13">
        <v>3606.62</v>
      </c>
      <c r="D693" s="25"/>
      <c r="E693" s="38">
        <f t="shared" si="49"/>
        <v>407502.7</v>
      </c>
      <c r="F693" s="13">
        <v>407502.7</v>
      </c>
      <c r="G693" s="37"/>
      <c r="H693" s="26">
        <v>113886</v>
      </c>
      <c r="I693" s="25">
        <v>134283</v>
      </c>
      <c r="J693" s="46">
        <f t="shared" si="46"/>
        <v>248169</v>
      </c>
      <c r="K693" s="26">
        <v>673930</v>
      </c>
      <c r="L693" s="10">
        <v>19683</v>
      </c>
      <c r="M693" s="33">
        <v>2354</v>
      </c>
      <c r="N693" s="46">
        <f t="shared" si="47"/>
        <v>944136</v>
      </c>
      <c r="O693" s="50">
        <f t="shared" si="50"/>
        <v>21.814884850635778</v>
      </c>
      <c r="P693" s="30">
        <f t="shared" si="48"/>
        <v>-536633.3</v>
      </c>
    </row>
    <row r="694" spans="1:16" ht="12.75">
      <c r="A694" s="10">
        <v>8</v>
      </c>
      <c r="B694" s="5" t="s">
        <v>180</v>
      </c>
      <c r="C694" s="13">
        <v>3594.55</v>
      </c>
      <c r="D694" s="25"/>
      <c r="E694" s="38">
        <f t="shared" si="49"/>
        <v>398709.25</v>
      </c>
      <c r="F694" s="13">
        <v>398709.25</v>
      </c>
      <c r="G694" s="37"/>
      <c r="H694" s="26">
        <v>113505</v>
      </c>
      <c r="I694" s="25">
        <v>133755</v>
      </c>
      <c r="J694" s="46">
        <f t="shared" si="46"/>
        <v>247260</v>
      </c>
      <c r="K694" s="60">
        <v>189030</v>
      </c>
      <c r="L694" s="10">
        <v>21949</v>
      </c>
      <c r="M694" s="33">
        <v>2345</v>
      </c>
      <c r="N694" s="46">
        <f t="shared" si="47"/>
        <v>460584</v>
      </c>
      <c r="O694" s="50">
        <f t="shared" si="50"/>
        <v>10.677831717461155</v>
      </c>
      <c r="P694" s="30">
        <f t="shared" si="48"/>
        <v>-61874.75</v>
      </c>
    </row>
    <row r="695" spans="1:16" ht="12.75">
      <c r="A695" s="10">
        <v>9</v>
      </c>
      <c r="B695" s="5" t="s">
        <v>181</v>
      </c>
      <c r="C695" s="13">
        <v>3239.7</v>
      </c>
      <c r="D695" s="25"/>
      <c r="E695" s="38">
        <f t="shared" si="49"/>
        <v>214176.15</v>
      </c>
      <c r="F695" s="13">
        <v>214176.15</v>
      </c>
      <c r="G695" s="37"/>
      <c r="H695" s="26">
        <v>49330</v>
      </c>
      <c r="I695" s="25">
        <v>63887</v>
      </c>
      <c r="J695" s="46">
        <f t="shared" si="46"/>
        <v>113217</v>
      </c>
      <c r="K695" s="26">
        <v>111371</v>
      </c>
      <c r="L695" s="61">
        <v>8585</v>
      </c>
      <c r="M695" s="33">
        <v>389</v>
      </c>
      <c r="N695" s="46">
        <f t="shared" si="47"/>
        <v>233562</v>
      </c>
      <c r="O695" s="50">
        <f t="shared" si="50"/>
        <v>6.0078093650646665</v>
      </c>
      <c r="P695" s="30">
        <f t="shared" si="48"/>
        <v>-19385.850000000006</v>
      </c>
    </row>
    <row r="696" spans="1:16" ht="12.75">
      <c r="A696" s="10">
        <v>10</v>
      </c>
      <c r="B696" s="5" t="s">
        <v>182</v>
      </c>
      <c r="C696" s="13">
        <v>3613.83</v>
      </c>
      <c r="D696" s="25"/>
      <c r="E696" s="38">
        <f t="shared" si="49"/>
        <v>459333.04</v>
      </c>
      <c r="F696" s="13">
        <v>459333.04</v>
      </c>
      <c r="G696" s="37"/>
      <c r="H696" s="26">
        <v>114114</v>
      </c>
      <c r="I696" s="25">
        <v>146567</v>
      </c>
      <c r="J696" s="46">
        <f t="shared" si="46"/>
        <v>260681</v>
      </c>
      <c r="K696" s="60">
        <v>561753</v>
      </c>
      <c r="L696" s="10">
        <v>19722</v>
      </c>
      <c r="M696" s="33">
        <v>2358</v>
      </c>
      <c r="N696" s="46">
        <f t="shared" si="47"/>
        <v>844514</v>
      </c>
      <c r="O696" s="50">
        <f t="shared" si="50"/>
        <v>19.47412209945312</v>
      </c>
      <c r="P696" s="30">
        <f t="shared" si="48"/>
        <v>-385180.96</v>
      </c>
    </row>
    <row r="697" spans="1:16" ht="12.75">
      <c r="A697" s="10">
        <v>11</v>
      </c>
      <c r="B697" s="5" t="s">
        <v>183</v>
      </c>
      <c r="C697" s="13">
        <v>3614.21</v>
      </c>
      <c r="D697" s="25"/>
      <c r="E697" s="38">
        <f t="shared" si="49"/>
        <v>374225.13</v>
      </c>
      <c r="F697" s="13">
        <v>374225.13</v>
      </c>
      <c r="G697" s="37"/>
      <c r="H697" s="26">
        <v>114126</v>
      </c>
      <c r="I697" s="25">
        <v>130873</v>
      </c>
      <c r="J697" s="46">
        <f t="shared" si="46"/>
        <v>244999</v>
      </c>
      <c r="K697" s="60">
        <v>280276</v>
      </c>
      <c r="L697" s="10">
        <v>19724</v>
      </c>
      <c r="M697" s="33">
        <v>2358</v>
      </c>
      <c r="N697" s="46">
        <f t="shared" si="47"/>
        <v>547357</v>
      </c>
      <c r="O697" s="50">
        <f t="shared" si="50"/>
        <v>12.62048506681497</v>
      </c>
      <c r="P697" s="30">
        <f t="shared" si="48"/>
        <v>-173131.87</v>
      </c>
    </row>
    <row r="698" spans="1:16" ht="12.75">
      <c r="A698" s="10">
        <v>12</v>
      </c>
      <c r="B698" s="5" t="s">
        <v>184</v>
      </c>
      <c r="C698" s="13">
        <v>3644.1</v>
      </c>
      <c r="D698" s="25"/>
      <c r="E698" s="38">
        <f t="shared" si="49"/>
        <v>411612.66</v>
      </c>
      <c r="F698" s="13">
        <v>411612.66</v>
      </c>
      <c r="G698" s="37"/>
      <c r="H698" s="26">
        <v>115070</v>
      </c>
      <c r="I698" s="25">
        <v>137890</v>
      </c>
      <c r="J698" s="46">
        <f t="shared" si="46"/>
        <v>252960</v>
      </c>
      <c r="K698" s="60">
        <v>274991</v>
      </c>
      <c r="L698" s="10">
        <v>19887</v>
      </c>
      <c r="M698" s="33">
        <v>2378</v>
      </c>
      <c r="N698" s="46">
        <f t="shared" si="47"/>
        <v>550216</v>
      </c>
      <c r="O698" s="50">
        <f t="shared" si="50"/>
        <v>12.582347721888349</v>
      </c>
      <c r="P698" s="30">
        <f t="shared" si="48"/>
        <v>-138603.34000000003</v>
      </c>
    </row>
    <row r="699" spans="1:16" ht="12.75">
      <c r="A699" s="10">
        <v>13</v>
      </c>
      <c r="B699" s="5" t="s">
        <v>185</v>
      </c>
      <c r="C699" s="13">
        <v>3605.33</v>
      </c>
      <c r="D699" s="33"/>
      <c r="E699" s="38">
        <f t="shared" si="49"/>
        <v>418262.91</v>
      </c>
      <c r="F699" s="13">
        <v>418262.91</v>
      </c>
      <c r="G699" s="37"/>
      <c r="H699" s="26">
        <v>113845</v>
      </c>
      <c r="I699" s="25">
        <v>136734</v>
      </c>
      <c r="J699" s="46">
        <f t="shared" si="46"/>
        <v>250579</v>
      </c>
      <c r="K699" s="60">
        <v>206230</v>
      </c>
      <c r="L699" s="10">
        <v>19676</v>
      </c>
      <c r="M699" s="33">
        <v>2353</v>
      </c>
      <c r="N699" s="46">
        <f t="shared" si="47"/>
        <v>478838</v>
      </c>
      <c r="O699" s="50">
        <f t="shared" si="50"/>
        <v>11.067826431052543</v>
      </c>
      <c r="P699" s="30">
        <f t="shared" si="48"/>
        <v>-60575.090000000026</v>
      </c>
    </row>
    <row r="700" spans="1:16" ht="12.75">
      <c r="A700" s="10">
        <v>14</v>
      </c>
      <c r="B700" s="5" t="s">
        <v>186</v>
      </c>
      <c r="C700" s="13">
        <v>1849.2</v>
      </c>
      <c r="D700" s="25"/>
      <c r="E700" s="38">
        <f t="shared" si="49"/>
        <v>121107.82</v>
      </c>
      <c r="F700" s="13">
        <v>121107.82</v>
      </c>
      <c r="G700" s="37"/>
      <c r="H700" s="26">
        <v>58392</v>
      </c>
      <c r="I700" s="25">
        <v>103940</v>
      </c>
      <c r="J700" s="46">
        <f t="shared" si="46"/>
        <v>162332</v>
      </c>
      <c r="K700" s="26">
        <v>58569</v>
      </c>
      <c r="L700" s="10">
        <v>10092</v>
      </c>
      <c r="M700" s="33">
        <v>1206</v>
      </c>
      <c r="N700" s="46">
        <f t="shared" si="47"/>
        <v>232199</v>
      </c>
      <c r="O700" s="50">
        <f t="shared" si="50"/>
        <v>10.463939361165188</v>
      </c>
      <c r="P700" s="30">
        <f t="shared" si="48"/>
        <v>-111091.18</v>
      </c>
    </row>
    <row r="701" spans="1:16" ht="12.75">
      <c r="A701" s="10">
        <v>15</v>
      </c>
      <c r="B701" s="5" t="s">
        <v>187</v>
      </c>
      <c r="C701" s="13">
        <v>3604.48</v>
      </c>
      <c r="D701" s="25"/>
      <c r="E701" s="38">
        <f t="shared" si="49"/>
        <v>395356.23</v>
      </c>
      <c r="F701" s="13">
        <v>395356.23</v>
      </c>
      <c r="G701" s="37"/>
      <c r="H701" s="26">
        <v>113819</v>
      </c>
      <c r="I701" s="25">
        <v>131338</v>
      </c>
      <c r="J701" s="46">
        <f t="shared" si="46"/>
        <v>245157</v>
      </c>
      <c r="K701" s="60">
        <v>261843</v>
      </c>
      <c r="L701" s="10">
        <v>20432</v>
      </c>
      <c r="M701" s="33">
        <v>2352</v>
      </c>
      <c r="N701" s="46">
        <f t="shared" si="47"/>
        <v>529784</v>
      </c>
      <c r="O701" s="50">
        <f t="shared" si="50"/>
        <v>12.248276219223484</v>
      </c>
      <c r="P701" s="30">
        <f t="shared" si="48"/>
        <v>-134427.77000000002</v>
      </c>
    </row>
    <row r="702" spans="1:16" ht="12.75">
      <c r="A702" s="10">
        <v>16</v>
      </c>
      <c r="B702" s="5" t="s">
        <v>188</v>
      </c>
      <c r="C702" s="13">
        <v>3618.73</v>
      </c>
      <c r="D702" s="25"/>
      <c r="E702" s="38">
        <f t="shared" si="49"/>
        <v>417207.06</v>
      </c>
      <c r="F702" s="13">
        <v>417207.06</v>
      </c>
      <c r="G702" s="37"/>
      <c r="H702" s="26">
        <v>114269</v>
      </c>
      <c r="I702" s="25">
        <v>141674</v>
      </c>
      <c r="J702" s="46">
        <f t="shared" si="46"/>
        <v>255943</v>
      </c>
      <c r="K702" s="60">
        <v>239858</v>
      </c>
      <c r="L702" s="10">
        <v>19860</v>
      </c>
      <c r="M702" s="33">
        <v>2361</v>
      </c>
      <c r="N702" s="46">
        <f t="shared" si="47"/>
        <v>518022</v>
      </c>
      <c r="O702" s="50">
        <f t="shared" si="50"/>
        <v>11.929185100850297</v>
      </c>
      <c r="P702" s="30">
        <f t="shared" si="48"/>
        <v>-100814.94</v>
      </c>
    </row>
    <row r="703" spans="1:16" ht="12.75">
      <c r="A703" s="10">
        <v>17</v>
      </c>
      <c r="B703" s="5" t="s">
        <v>189</v>
      </c>
      <c r="C703" s="13">
        <v>3887.7</v>
      </c>
      <c r="D703" s="25"/>
      <c r="E703" s="38">
        <f t="shared" si="49"/>
        <v>520811.14</v>
      </c>
      <c r="F703" s="13">
        <v>520811.14</v>
      </c>
      <c r="G703" s="37"/>
      <c r="H703" s="26">
        <v>122762</v>
      </c>
      <c r="I703" s="25">
        <v>132862</v>
      </c>
      <c r="J703" s="46">
        <f t="shared" si="46"/>
        <v>255624</v>
      </c>
      <c r="K703" s="60">
        <v>438178</v>
      </c>
      <c r="L703" s="10">
        <v>21217</v>
      </c>
      <c r="M703" s="33">
        <v>2536</v>
      </c>
      <c r="N703" s="46">
        <f t="shared" si="47"/>
        <v>717555</v>
      </c>
      <c r="O703" s="50">
        <f t="shared" si="50"/>
        <v>15.380880726393498</v>
      </c>
      <c r="P703" s="30">
        <f t="shared" si="48"/>
        <v>-196743.86</v>
      </c>
    </row>
    <row r="704" spans="1:16" ht="12.75">
      <c r="A704" s="10">
        <v>18</v>
      </c>
      <c r="B704" s="5" t="s">
        <v>190</v>
      </c>
      <c r="C704" s="13">
        <v>3615.45</v>
      </c>
      <c r="D704" s="25"/>
      <c r="E704" s="38">
        <f t="shared" si="49"/>
        <v>387297.7</v>
      </c>
      <c r="F704" s="10">
        <v>387297.7</v>
      </c>
      <c r="G704" s="37"/>
      <c r="H704" s="26">
        <v>114165</v>
      </c>
      <c r="I704" s="25">
        <v>131216</v>
      </c>
      <c r="J704" s="46">
        <f t="shared" si="46"/>
        <v>245381</v>
      </c>
      <c r="K704" s="60">
        <v>572209</v>
      </c>
      <c r="L704" s="10">
        <v>20901</v>
      </c>
      <c r="M704" s="33">
        <v>2359</v>
      </c>
      <c r="N704" s="46">
        <f t="shared" si="47"/>
        <v>840850</v>
      </c>
      <c r="O704" s="50">
        <f t="shared" si="50"/>
        <v>19.38094381981035</v>
      </c>
      <c r="P704" s="30">
        <f t="shared" si="48"/>
        <v>-453552.3</v>
      </c>
    </row>
    <row r="705" spans="1:16" ht="12.75">
      <c r="A705" s="10">
        <v>19</v>
      </c>
      <c r="B705" s="5" t="s">
        <v>191</v>
      </c>
      <c r="C705" s="13">
        <v>2678.39</v>
      </c>
      <c r="D705" s="25"/>
      <c r="E705" s="38">
        <f t="shared" si="49"/>
        <v>313802.25</v>
      </c>
      <c r="F705" s="13">
        <v>313802.25</v>
      </c>
      <c r="G705" s="37"/>
      <c r="H705" s="26">
        <v>84575</v>
      </c>
      <c r="I705" s="25">
        <v>109415</v>
      </c>
      <c r="J705" s="46">
        <f t="shared" si="46"/>
        <v>193990</v>
      </c>
      <c r="K705" s="60">
        <v>245293</v>
      </c>
      <c r="L705" s="10">
        <v>14617</v>
      </c>
      <c r="M705" s="33">
        <v>1747</v>
      </c>
      <c r="N705" s="46">
        <f t="shared" si="47"/>
        <v>455647</v>
      </c>
      <c r="O705" s="50">
        <f t="shared" si="50"/>
        <v>14.176644675843823</v>
      </c>
      <c r="P705" s="30">
        <f t="shared" si="48"/>
        <v>-141844.75</v>
      </c>
    </row>
    <row r="706" spans="1:16" ht="12.75">
      <c r="A706" s="10">
        <v>20</v>
      </c>
      <c r="B706" s="5" t="s">
        <v>192</v>
      </c>
      <c r="C706" s="13">
        <v>3614.83</v>
      </c>
      <c r="D706" s="25"/>
      <c r="E706" s="38">
        <f t="shared" si="49"/>
        <v>308556.24</v>
      </c>
      <c r="F706" s="13">
        <v>308556.24</v>
      </c>
      <c r="G706" s="37"/>
      <c r="H706" s="26">
        <v>114145</v>
      </c>
      <c r="I706" s="25">
        <v>122579</v>
      </c>
      <c r="J706" s="46">
        <f t="shared" si="46"/>
        <v>236724</v>
      </c>
      <c r="K706" s="60">
        <v>218497</v>
      </c>
      <c r="L706" s="10">
        <v>18879</v>
      </c>
      <c r="M706" s="33">
        <v>2359</v>
      </c>
      <c r="N706" s="46">
        <f t="shared" si="47"/>
        <v>476459</v>
      </c>
      <c r="O706" s="50">
        <f t="shared" si="50"/>
        <v>10.983895969289472</v>
      </c>
      <c r="P706" s="30">
        <f t="shared" si="48"/>
        <v>-167902.76</v>
      </c>
    </row>
    <row r="707" spans="1:16" ht="12.75">
      <c r="A707" s="10">
        <v>21</v>
      </c>
      <c r="B707" s="5" t="s">
        <v>193</v>
      </c>
      <c r="C707" s="13">
        <v>3608.85</v>
      </c>
      <c r="D707" s="25"/>
      <c r="E707" s="38">
        <f t="shared" si="49"/>
        <v>404531.42</v>
      </c>
      <c r="F707" s="13">
        <v>404531.42</v>
      </c>
      <c r="G707" s="37"/>
      <c r="H707" s="26">
        <v>113957</v>
      </c>
      <c r="I707" s="25">
        <v>128777</v>
      </c>
      <c r="J707" s="46">
        <f t="shared" si="46"/>
        <v>242734</v>
      </c>
      <c r="K707" s="60">
        <v>359974</v>
      </c>
      <c r="L707" s="10">
        <v>19695</v>
      </c>
      <c r="M707" s="33">
        <v>2355</v>
      </c>
      <c r="N707" s="46">
        <f t="shared" si="47"/>
        <v>624758</v>
      </c>
      <c r="O707" s="50">
        <f t="shared" si="50"/>
        <v>14.426525532140895</v>
      </c>
      <c r="P707" s="30">
        <f t="shared" si="48"/>
        <v>-220226.58000000002</v>
      </c>
    </row>
    <row r="708" spans="1:16" ht="12.75">
      <c r="A708" s="10">
        <v>22</v>
      </c>
      <c r="B708" s="5" t="s">
        <v>194</v>
      </c>
      <c r="C708" s="13">
        <v>3608.24</v>
      </c>
      <c r="D708" s="25"/>
      <c r="E708" s="38">
        <f t="shared" si="49"/>
        <v>380142.95</v>
      </c>
      <c r="F708" s="13">
        <v>380142.95</v>
      </c>
      <c r="G708" s="37"/>
      <c r="H708" s="26">
        <v>113937</v>
      </c>
      <c r="I708" s="25">
        <v>125862</v>
      </c>
      <c r="J708" s="46">
        <f t="shared" si="46"/>
        <v>239799</v>
      </c>
      <c r="K708" s="60">
        <v>225268</v>
      </c>
      <c r="L708" s="10">
        <v>19691</v>
      </c>
      <c r="M708" s="33">
        <v>2355</v>
      </c>
      <c r="N708" s="46">
        <f t="shared" si="47"/>
        <v>487113</v>
      </c>
      <c r="O708" s="50">
        <f t="shared" si="50"/>
        <v>11.250013857171362</v>
      </c>
      <c r="P708" s="30">
        <f t="shared" si="48"/>
        <v>-106970.04999999999</v>
      </c>
    </row>
    <row r="709" spans="1:16" ht="12.75">
      <c r="A709" s="10">
        <v>23</v>
      </c>
      <c r="B709" s="5" t="s">
        <v>195</v>
      </c>
      <c r="C709" s="13">
        <v>2527.69</v>
      </c>
      <c r="D709" s="25"/>
      <c r="E709" s="38">
        <f t="shared" si="49"/>
        <v>272612.94</v>
      </c>
      <c r="F709" s="13">
        <v>272612.94</v>
      </c>
      <c r="G709" s="37"/>
      <c r="H709" s="26">
        <v>79817</v>
      </c>
      <c r="I709" s="25">
        <v>108706</v>
      </c>
      <c r="J709" s="46">
        <f t="shared" si="46"/>
        <v>188523</v>
      </c>
      <c r="K709" s="60">
        <v>147708</v>
      </c>
      <c r="L709" s="10">
        <v>13795</v>
      </c>
      <c r="M709" s="33">
        <v>1649</v>
      </c>
      <c r="N709" s="46">
        <f t="shared" si="47"/>
        <v>351675</v>
      </c>
      <c r="O709" s="50">
        <f t="shared" si="50"/>
        <v>11.594083926430853</v>
      </c>
      <c r="P709" s="30">
        <f t="shared" si="48"/>
        <v>-79062.06</v>
      </c>
    </row>
    <row r="710" spans="1:16" ht="12.75">
      <c r="A710" s="10">
        <v>24</v>
      </c>
      <c r="B710" s="5" t="s">
        <v>196</v>
      </c>
      <c r="C710" s="13">
        <v>3613.63</v>
      </c>
      <c r="D710" s="25"/>
      <c r="E710" s="38">
        <f t="shared" si="49"/>
        <v>321005.03</v>
      </c>
      <c r="F710" s="13">
        <v>321005.03</v>
      </c>
      <c r="G710" s="37"/>
      <c r="H710" s="26">
        <v>114107</v>
      </c>
      <c r="I710" s="25">
        <v>125662</v>
      </c>
      <c r="J710" s="46">
        <f t="shared" si="46"/>
        <v>239769</v>
      </c>
      <c r="K710" s="60">
        <v>441015</v>
      </c>
      <c r="L710" s="10">
        <v>19721</v>
      </c>
      <c r="M710" s="33">
        <v>2358</v>
      </c>
      <c r="N710" s="46">
        <f t="shared" si="47"/>
        <v>702863</v>
      </c>
      <c r="O710" s="50">
        <f t="shared" si="50"/>
        <v>16.2086092562511</v>
      </c>
      <c r="P710" s="30">
        <f t="shared" si="48"/>
        <v>-381857.97</v>
      </c>
    </row>
    <row r="711" spans="1:16" ht="12.75">
      <c r="A711" s="10">
        <v>25</v>
      </c>
      <c r="B711" s="5" t="s">
        <v>197</v>
      </c>
      <c r="C711" s="13">
        <v>3657.15</v>
      </c>
      <c r="D711" s="25"/>
      <c r="E711" s="38">
        <f t="shared" si="49"/>
        <v>421127.27</v>
      </c>
      <c r="F711" s="13">
        <v>421127.27</v>
      </c>
      <c r="G711" s="37"/>
      <c r="H711" s="26">
        <v>115482</v>
      </c>
      <c r="I711" s="25">
        <v>128575</v>
      </c>
      <c r="J711" s="46">
        <f t="shared" si="46"/>
        <v>244057</v>
      </c>
      <c r="K711" s="60">
        <v>278846</v>
      </c>
      <c r="L711" s="10">
        <v>19959</v>
      </c>
      <c r="M711" s="33">
        <v>2387</v>
      </c>
      <c r="N711" s="46">
        <f t="shared" si="47"/>
        <v>545249</v>
      </c>
      <c r="O711" s="50">
        <f t="shared" si="50"/>
        <v>12.424269353640584</v>
      </c>
      <c r="P711" s="30">
        <f t="shared" si="48"/>
        <v>-124121.72999999998</v>
      </c>
    </row>
    <row r="712" spans="1:16" ht="12.75">
      <c r="A712" s="10">
        <v>26</v>
      </c>
      <c r="B712" s="5" t="s">
        <v>198</v>
      </c>
      <c r="C712" s="13">
        <v>3613.94</v>
      </c>
      <c r="D712" s="25"/>
      <c r="E712" s="38">
        <f t="shared" si="49"/>
        <v>382549.57</v>
      </c>
      <c r="F712" s="13">
        <v>382549.57</v>
      </c>
      <c r="G712" s="37"/>
      <c r="H712" s="26">
        <v>114117</v>
      </c>
      <c r="I712" s="25">
        <v>130545</v>
      </c>
      <c r="J712" s="46">
        <f t="shared" si="46"/>
        <v>244662</v>
      </c>
      <c r="K712" s="60">
        <v>364712</v>
      </c>
      <c r="L712" s="10">
        <v>19723</v>
      </c>
      <c r="M712" s="33">
        <v>2358</v>
      </c>
      <c r="N712" s="46">
        <f t="shared" si="47"/>
        <v>631455</v>
      </c>
      <c r="O712" s="50">
        <f t="shared" si="50"/>
        <v>14.560631886528277</v>
      </c>
      <c r="P712" s="30">
        <f t="shared" si="48"/>
        <v>-248905.43</v>
      </c>
    </row>
    <row r="713" spans="1:16" ht="12.75">
      <c r="A713" s="10">
        <v>27</v>
      </c>
      <c r="B713" s="5" t="s">
        <v>199</v>
      </c>
      <c r="C713" s="13">
        <v>3619.08</v>
      </c>
      <c r="D713" s="25"/>
      <c r="E713" s="38">
        <f t="shared" si="49"/>
        <v>425107.53</v>
      </c>
      <c r="F713" s="13">
        <v>425107.53</v>
      </c>
      <c r="G713" s="37"/>
      <c r="H713" s="26">
        <v>114280</v>
      </c>
      <c r="I713" s="25">
        <v>131897</v>
      </c>
      <c r="J713" s="46">
        <f t="shared" si="46"/>
        <v>246177</v>
      </c>
      <c r="K713" s="60">
        <v>540540</v>
      </c>
      <c r="L713" s="10">
        <v>19751</v>
      </c>
      <c r="M713" s="33">
        <v>2361</v>
      </c>
      <c r="N713" s="46">
        <f t="shared" si="47"/>
        <v>808829</v>
      </c>
      <c r="O713" s="50">
        <f t="shared" si="50"/>
        <v>18.624185336236465</v>
      </c>
      <c r="P713" s="30">
        <f t="shared" si="48"/>
        <v>-383721.47</v>
      </c>
    </row>
    <row r="714" spans="1:16" ht="12.75">
      <c r="A714" s="10">
        <v>28</v>
      </c>
      <c r="B714" s="5" t="s">
        <v>200</v>
      </c>
      <c r="C714" s="13">
        <v>3626.99</v>
      </c>
      <c r="D714" s="25"/>
      <c r="E714" s="38">
        <f t="shared" si="49"/>
        <v>406231.37</v>
      </c>
      <c r="F714" s="13">
        <v>406231.37</v>
      </c>
      <c r="G714" s="37"/>
      <c r="H714" s="26">
        <v>114529</v>
      </c>
      <c r="I714" s="25">
        <v>144407</v>
      </c>
      <c r="J714" s="46">
        <f t="shared" si="46"/>
        <v>258936</v>
      </c>
      <c r="K714" s="60">
        <v>193927</v>
      </c>
      <c r="L714" s="10">
        <v>19794</v>
      </c>
      <c r="M714" s="33">
        <v>2367</v>
      </c>
      <c r="N714" s="46">
        <f t="shared" si="47"/>
        <v>475024</v>
      </c>
      <c r="O714" s="50">
        <f t="shared" si="50"/>
        <v>10.91410048920271</v>
      </c>
      <c r="P714" s="30">
        <f t="shared" si="48"/>
        <v>-68792.63</v>
      </c>
    </row>
    <row r="715" spans="1:16" ht="12.75">
      <c r="A715" s="10">
        <v>29</v>
      </c>
      <c r="B715" s="5" t="s">
        <v>201</v>
      </c>
      <c r="C715" s="13">
        <v>3621.21</v>
      </c>
      <c r="D715" s="25"/>
      <c r="E715" s="38">
        <f t="shared" si="49"/>
        <v>391002.11</v>
      </c>
      <c r="F715" s="13">
        <v>391002.11</v>
      </c>
      <c r="G715" s="37"/>
      <c r="H715" s="26">
        <v>114347</v>
      </c>
      <c r="I715" s="25">
        <v>131838</v>
      </c>
      <c r="J715" s="46">
        <f t="shared" si="46"/>
        <v>246185</v>
      </c>
      <c r="K715" s="60">
        <v>496532</v>
      </c>
      <c r="L715" s="10">
        <v>19763</v>
      </c>
      <c r="M715" s="33">
        <v>2363</v>
      </c>
      <c r="N715" s="46">
        <f t="shared" si="47"/>
        <v>764843</v>
      </c>
      <c r="O715" s="50">
        <f t="shared" si="50"/>
        <v>17.60099984995807</v>
      </c>
      <c r="P715" s="30">
        <f t="shared" si="48"/>
        <v>-373840.89</v>
      </c>
    </row>
    <row r="716" spans="1:16" ht="12.75">
      <c r="A716" s="10">
        <v>30</v>
      </c>
      <c r="B716" s="5" t="s">
        <v>202</v>
      </c>
      <c r="C716" s="13">
        <v>3616.22</v>
      </c>
      <c r="D716" s="25"/>
      <c r="E716" s="38">
        <f t="shared" si="49"/>
        <v>430614.6</v>
      </c>
      <c r="F716" s="13">
        <v>430614.6</v>
      </c>
      <c r="G716" s="37"/>
      <c r="H716" s="26">
        <v>114189</v>
      </c>
      <c r="I716" s="25">
        <v>132952</v>
      </c>
      <c r="J716" s="46">
        <f t="shared" si="46"/>
        <v>247141</v>
      </c>
      <c r="K716" s="60">
        <v>152883</v>
      </c>
      <c r="L716" s="10">
        <v>19735</v>
      </c>
      <c r="M716" s="33">
        <v>2359</v>
      </c>
      <c r="N716" s="46">
        <f t="shared" si="47"/>
        <v>422118</v>
      </c>
      <c r="O716" s="50">
        <f t="shared" si="50"/>
        <v>9.727422557255919</v>
      </c>
      <c r="P716" s="30">
        <f t="shared" si="48"/>
        <v>8496.599999999977</v>
      </c>
    </row>
    <row r="717" spans="1:16" ht="12.75">
      <c r="A717" s="10">
        <v>31</v>
      </c>
      <c r="B717" s="5" t="s">
        <v>203</v>
      </c>
      <c r="C717" s="13">
        <v>3641.89</v>
      </c>
      <c r="D717" s="25"/>
      <c r="E717" s="38">
        <f t="shared" si="49"/>
        <v>414749.37</v>
      </c>
      <c r="F717" s="13">
        <v>414749.37</v>
      </c>
      <c r="G717" s="37"/>
      <c r="H717" s="26">
        <v>115000</v>
      </c>
      <c r="I717" s="25">
        <v>136175</v>
      </c>
      <c r="J717" s="46">
        <f t="shared" si="46"/>
        <v>251175</v>
      </c>
      <c r="K717" s="26">
        <v>411805</v>
      </c>
      <c r="L717" s="10">
        <v>19785</v>
      </c>
      <c r="M717" s="33">
        <v>2377</v>
      </c>
      <c r="N717" s="46">
        <f t="shared" si="47"/>
        <v>685142</v>
      </c>
      <c r="O717" s="50">
        <f t="shared" si="50"/>
        <v>15.677345187983896</v>
      </c>
      <c r="P717" s="30">
        <f t="shared" si="48"/>
        <v>-270392.63</v>
      </c>
    </row>
    <row r="718" spans="1:16" ht="12.75">
      <c r="A718" s="10">
        <v>32</v>
      </c>
      <c r="B718" s="5" t="s">
        <v>204</v>
      </c>
      <c r="C718" s="13">
        <v>3803.6</v>
      </c>
      <c r="D718" s="25"/>
      <c r="E718" s="38">
        <f t="shared" si="49"/>
        <v>381509.86</v>
      </c>
      <c r="F718" s="13">
        <v>381509.86</v>
      </c>
      <c r="G718" s="37"/>
      <c r="H718" s="26">
        <v>120106</v>
      </c>
      <c r="I718" s="25">
        <v>138100</v>
      </c>
      <c r="J718" s="46">
        <f t="shared" si="46"/>
        <v>258206</v>
      </c>
      <c r="K718" s="60">
        <v>118720</v>
      </c>
      <c r="L718" s="10">
        <v>20758</v>
      </c>
      <c r="M718" s="33">
        <v>2482</v>
      </c>
      <c r="N718" s="46">
        <f t="shared" si="47"/>
        <v>400166</v>
      </c>
      <c r="O718" s="50">
        <f t="shared" si="50"/>
        <v>8.767264346058122</v>
      </c>
      <c r="P718" s="30">
        <f t="shared" si="48"/>
        <v>-18656.140000000014</v>
      </c>
    </row>
    <row r="719" spans="1:16" ht="12.75">
      <c r="A719" s="10">
        <v>33</v>
      </c>
      <c r="B719" s="5" t="s">
        <v>205</v>
      </c>
      <c r="C719" s="13">
        <v>3765.82</v>
      </c>
      <c r="D719" s="25"/>
      <c r="E719" s="38">
        <f t="shared" si="49"/>
        <v>402241.07</v>
      </c>
      <c r="F719" s="13">
        <v>402241.07</v>
      </c>
      <c r="G719" s="37"/>
      <c r="H719" s="26">
        <v>118913</v>
      </c>
      <c r="I719" s="25">
        <v>126199</v>
      </c>
      <c r="J719" s="46">
        <f t="shared" si="46"/>
        <v>245112</v>
      </c>
      <c r="K719" s="60">
        <v>147574</v>
      </c>
      <c r="L719" s="10">
        <v>20552</v>
      </c>
      <c r="M719" s="33">
        <v>2458</v>
      </c>
      <c r="N719" s="46">
        <f t="shared" si="47"/>
        <v>415696</v>
      </c>
      <c r="O719" s="50">
        <f t="shared" si="50"/>
        <v>9.198881872562504</v>
      </c>
      <c r="P719" s="30">
        <f t="shared" si="48"/>
        <v>-13454.929999999993</v>
      </c>
    </row>
    <row r="720" spans="1:16" ht="12.75">
      <c r="A720" s="10">
        <v>34</v>
      </c>
      <c r="B720" s="5" t="s">
        <v>206</v>
      </c>
      <c r="C720" s="13">
        <v>3805.6</v>
      </c>
      <c r="D720" s="25"/>
      <c r="E720" s="38">
        <f t="shared" si="49"/>
        <v>428680.85</v>
      </c>
      <c r="F720" s="13">
        <v>428680.85</v>
      </c>
      <c r="G720" s="37"/>
      <c r="H720" s="26">
        <v>118920</v>
      </c>
      <c r="I720" s="25">
        <v>142242</v>
      </c>
      <c r="J720" s="46">
        <f t="shared" si="46"/>
        <v>261162</v>
      </c>
      <c r="K720" s="60">
        <v>288625</v>
      </c>
      <c r="L720" s="10">
        <v>20769</v>
      </c>
      <c r="M720" s="33">
        <v>2483</v>
      </c>
      <c r="N720" s="46">
        <f t="shared" si="47"/>
        <v>573039</v>
      </c>
      <c r="O720" s="50">
        <f aca="true" t="shared" si="51" ref="O720:O735">N720/C720/12</f>
        <v>12.548152722303973</v>
      </c>
      <c r="P720" s="30">
        <f t="shared" si="48"/>
        <v>-144358.15000000002</v>
      </c>
    </row>
    <row r="721" spans="1:16" ht="12.75">
      <c r="A721" s="10">
        <v>35</v>
      </c>
      <c r="B721" s="5" t="s">
        <v>207</v>
      </c>
      <c r="C721" s="13">
        <v>3812.15</v>
      </c>
      <c r="D721" s="25"/>
      <c r="E721" s="38">
        <f t="shared" si="49"/>
        <v>436645.28</v>
      </c>
      <c r="F721" s="13">
        <v>436645.28</v>
      </c>
      <c r="G721" s="37"/>
      <c r="H721" s="26">
        <v>120376</v>
      </c>
      <c r="I721" s="25">
        <v>146167</v>
      </c>
      <c r="J721" s="46">
        <f t="shared" si="46"/>
        <v>266543</v>
      </c>
      <c r="K721" s="60">
        <v>278799</v>
      </c>
      <c r="L721" s="10">
        <v>20805</v>
      </c>
      <c r="M721" s="33">
        <v>2487</v>
      </c>
      <c r="N721" s="46">
        <f t="shared" si="47"/>
        <v>568634</v>
      </c>
      <c r="O721" s="50">
        <f t="shared" si="51"/>
        <v>12.430299612204836</v>
      </c>
      <c r="P721" s="30">
        <f t="shared" si="48"/>
        <v>-131988.71999999997</v>
      </c>
    </row>
    <row r="722" spans="1:16" ht="12.75">
      <c r="A722" s="10">
        <v>36</v>
      </c>
      <c r="B722" s="5" t="s">
        <v>208</v>
      </c>
      <c r="C722" s="13">
        <v>3801.02</v>
      </c>
      <c r="D722" s="25"/>
      <c r="E722" s="38">
        <f t="shared" si="49"/>
        <v>431749.5</v>
      </c>
      <c r="F722" s="13">
        <v>431749.5</v>
      </c>
      <c r="G722" s="37"/>
      <c r="H722" s="26">
        <v>120025</v>
      </c>
      <c r="I722" s="25">
        <v>135379</v>
      </c>
      <c r="J722" s="46">
        <f t="shared" si="46"/>
        <v>255404</v>
      </c>
      <c r="K722" s="26">
        <v>163328</v>
      </c>
      <c r="L722" s="10">
        <v>20744</v>
      </c>
      <c r="M722" s="33">
        <v>2481</v>
      </c>
      <c r="N722" s="46">
        <f t="shared" si="47"/>
        <v>441957</v>
      </c>
      <c r="O722" s="50">
        <f t="shared" si="51"/>
        <v>9.689438624369249</v>
      </c>
      <c r="P722" s="30">
        <f t="shared" si="48"/>
        <v>-10207.5</v>
      </c>
    </row>
    <row r="723" spans="1:16" ht="12.75">
      <c r="A723" s="10">
        <v>37</v>
      </c>
      <c r="B723" s="5" t="s">
        <v>209</v>
      </c>
      <c r="C723" s="13">
        <v>3786.32</v>
      </c>
      <c r="D723" s="25"/>
      <c r="E723" s="38">
        <f t="shared" si="49"/>
        <v>350067.15</v>
      </c>
      <c r="F723" s="13">
        <v>350067.15</v>
      </c>
      <c r="G723" s="37"/>
      <c r="H723" s="26">
        <v>119561</v>
      </c>
      <c r="I723" s="25">
        <v>143231</v>
      </c>
      <c r="J723" s="46">
        <f t="shared" si="46"/>
        <v>262792</v>
      </c>
      <c r="K723" s="60">
        <v>305107</v>
      </c>
      <c r="L723" s="10">
        <v>20677</v>
      </c>
      <c r="M723" s="33">
        <v>2471</v>
      </c>
      <c r="N723" s="46">
        <f t="shared" si="47"/>
        <v>591047</v>
      </c>
      <c r="O723" s="50">
        <f t="shared" si="51"/>
        <v>13.008387211505278</v>
      </c>
      <c r="P723" s="30">
        <f t="shared" si="48"/>
        <v>-240979.84999999998</v>
      </c>
    </row>
    <row r="724" spans="1:16" ht="12.75">
      <c r="A724" s="10">
        <v>38</v>
      </c>
      <c r="B724" s="5" t="s">
        <v>210</v>
      </c>
      <c r="C724" s="13">
        <v>3739.54</v>
      </c>
      <c r="D724" s="25"/>
      <c r="E724" s="38">
        <f t="shared" si="49"/>
        <v>430373.69</v>
      </c>
      <c r="F724" s="13">
        <v>430373.69</v>
      </c>
      <c r="G724" s="37"/>
      <c r="H724" s="26">
        <v>118083</v>
      </c>
      <c r="I724" s="25">
        <v>140844</v>
      </c>
      <c r="J724" s="46">
        <f t="shared" si="46"/>
        <v>258927</v>
      </c>
      <c r="K724" s="60">
        <v>227916</v>
      </c>
      <c r="L724" s="10">
        <v>21529</v>
      </c>
      <c r="M724" s="33">
        <v>2440</v>
      </c>
      <c r="N724" s="46">
        <f t="shared" si="47"/>
        <v>510812</v>
      </c>
      <c r="O724" s="50">
        <f t="shared" si="51"/>
        <v>11.38312911926779</v>
      </c>
      <c r="P724" s="30">
        <f t="shared" si="48"/>
        <v>-80438.31</v>
      </c>
    </row>
    <row r="725" spans="1:16" ht="12.75">
      <c r="A725" s="10">
        <v>39</v>
      </c>
      <c r="B725" s="5" t="s">
        <v>211</v>
      </c>
      <c r="C725" s="13">
        <v>3624.69</v>
      </c>
      <c r="D725" s="25"/>
      <c r="E725" s="38">
        <f t="shared" si="49"/>
        <v>401858.92</v>
      </c>
      <c r="F725" s="13">
        <v>401858.92</v>
      </c>
      <c r="G725" s="37"/>
      <c r="H725" s="26">
        <v>114457</v>
      </c>
      <c r="I725" s="25">
        <v>125590</v>
      </c>
      <c r="J725" s="46">
        <f t="shared" si="46"/>
        <v>240047</v>
      </c>
      <c r="K725" s="26">
        <v>456655</v>
      </c>
      <c r="L725" s="10">
        <v>20372</v>
      </c>
      <c r="M725" s="33">
        <v>2365</v>
      </c>
      <c r="N725" s="46">
        <f t="shared" si="47"/>
        <v>719439</v>
      </c>
      <c r="O725" s="50">
        <f t="shared" si="51"/>
        <v>16.54024206207979</v>
      </c>
      <c r="P725" s="30">
        <f t="shared" si="48"/>
        <v>-317580.08</v>
      </c>
    </row>
    <row r="726" spans="1:16" ht="12.75">
      <c r="A726" s="10">
        <v>40</v>
      </c>
      <c r="B726" s="5" t="s">
        <v>212</v>
      </c>
      <c r="C726" s="13">
        <v>2517.57</v>
      </c>
      <c r="D726" s="25"/>
      <c r="E726" s="38">
        <f t="shared" si="49"/>
        <v>272855.6</v>
      </c>
      <c r="F726" s="13">
        <v>272855.6</v>
      </c>
      <c r="G726" s="37"/>
      <c r="H726" s="26">
        <v>79497</v>
      </c>
      <c r="I726" s="25">
        <v>91328</v>
      </c>
      <c r="J726" s="46">
        <f t="shared" si="46"/>
        <v>170825</v>
      </c>
      <c r="K726" s="60">
        <v>304078</v>
      </c>
      <c r="L726" s="10">
        <v>13739</v>
      </c>
      <c r="M726" s="33">
        <v>1642</v>
      </c>
      <c r="N726" s="46">
        <f t="shared" si="47"/>
        <v>490284</v>
      </c>
      <c r="O726" s="50">
        <f t="shared" si="51"/>
        <v>16.228744384465973</v>
      </c>
      <c r="P726" s="30">
        <f t="shared" si="48"/>
        <v>-217428.40000000002</v>
      </c>
    </row>
    <row r="727" spans="1:16" ht="12.75">
      <c r="A727" s="10">
        <v>41</v>
      </c>
      <c r="B727" s="5" t="s">
        <v>213</v>
      </c>
      <c r="C727" s="13">
        <v>3604.55</v>
      </c>
      <c r="D727" s="25"/>
      <c r="E727" s="38">
        <f t="shared" si="49"/>
        <v>32626.72</v>
      </c>
      <c r="F727" s="13">
        <v>32626.72</v>
      </c>
      <c r="G727" s="37"/>
      <c r="H727" s="26"/>
      <c r="I727" s="25"/>
      <c r="J727" s="46">
        <f t="shared" si="46"/>
        <v>0</v>
      </c>
      <c r="K727" s="26"/>
      <c r="L727" s="10"/>
      <c r="M727" s="33"/>
      <c r="N727" s="46">
        <f t="shared" si="47"/>
        <v>0</v>
      </c>
      <c r="O727" s="50">
        <f t="shared" si="51"/>
        <v>0</v>
      </c>
      <c r="P727" s="30">
        <f t="shared" si="48"/>
        <v>32626.72</v>
      </c>
    </row>
    <row r="728" spans="1:16" ht="12.75">
      <c r="A728" s="10">
        <v>42</v>
      </c>
      <c r="B728" s="5" t="s">
        <v>214</v>
      </c>
      <c r="C728" s="13">
        <v>690.44</v>
      </c>
      <c r="D728" s="25"/>
      <c r="E728" s="38">
        <f t="shared" si="49"/>
        <v>18765.61</v>
      </c>
      <c r="F728" s="13">
        <v>18765.61</v>
      </c>
      <c r="G728" s="37"/>
      <c r="H728" s="26">
        <v>5244</v>
      </c>
      <c r="I728" s="25">
        <v>6511</v>
      </c>
      <c r="J728" s="46">
        <f t="shared" si="46"/>
        <v>11755</v>
      </c>
      <c r="K728" s="26">
        <v>3783</v>
      </c>
      <c r="L728" s="10">
        <v>849</v>
      </c>
      <c r="M728" s="33">
        <v>44</v>
      </c>
      <c r="N728" s="46">
        <f t="shared" si="47"/>
        <v>16431</v>
      </c>
      <c r="O728" s="50">
        <f t="shared" si="51"/>
        <v>1.9831556688488499</v>
      </c>
      <c r="P728" s="30">
        <f t="shared" si="48"/>
        <v>2334.6100000000006</v>
      </c>
    </row>
    <row r="729" spans="1:16" ht="12.75">
      <c r="A729" s="10">
        <v>43</v>
      </c>
      <c r="B729" s="5" t="s">
        <v>215</v>
      </c>
      <c r="C729" s="13">
        <v>654.84</v>
      </c>
      <c r="D729" s="25"/>
      <c r="E729" s="38">
        <f t="shared" si="49"/>
        <v>88404.98</v>
      </c>
      <c r="F729" s="13">
        <v>88404.98</v>
      </c>
      <c r="G729" s="37"/>
      <c r="H729" s="26">
        <v>20678</v>
      </c>
      <c r="I729" s="25">
        <v>7276</v>
      </c>
      <c r="J729" s="46">
        <f t="shared" si="46"/>
        <v>27954</v>
      </c>
      <c r="K729" s="26">
        <v>19440</v>
      </c>
      <c r="L729" s="10">
        <v>3574</v>
      </c>
      <c r="M729" s="33">
        <v>427</v>
      </c>
      <c r="N729" s="46">
        <f t="shared" si="47"/>
        <v>51395</v>
      </c>
      <c r="O729" s="50">
        <f t="shared" si="51"/>
        <v>6.5404017266304235</v>
      </c>
      <c r="P729" s="30">
        <f t="shared" si="48"/>
        <v>37009.979999999996</v>
      </c>
    </row>
    <row r="730" spans="1:16" ht="12.75">
      <c r="A730" s="10">
        <v>44</v>
      </c>
      <c r="B730" s="5" t="s">
        <v>216</v>
      </c>
      <c r="C730" s="13">
        <v>1806.12</v>
      </c>
      <c r="D730" s="25"/>
      <c r="E730" s="38">
        <f t="shared" si="49"/>
        <v>224922.56</v>
      </c>
      <c r="F730" s="13">
        <v>224922.56</v>
      </c>
      <c r="G730" s="37"/>
      <c r="H730" s="26">
        <v>57032</v>
      </c>
      <c r="I730" s="25">
        <v>75051</v>
      </c>
      <c r="J730" s="46">
        <f t="shared" si="46"/>
        <v>132083</v>
      </c>
      <c r="K730" s="60">
        <v>97615</v>
      </c>
      <c r="L730" s="10">
        <v>9857</v>
      </c>
      <c r="M730" s="33">
        <v>1178</v>
      </c>
      <c r="N730" s="46">
        <f t="shared" si="47"/>
        <v>240733</v>
      </c>
      <c r="O730" s="50">
        <f t="shared" si="51"/>
        <v>11.10728153906348</v>
      </c>
      <c r="P730" s="30">
        <f t="shared" si="48"/>
        <v>-15810.440000000002</v>
      </c>
    </row>
    <row r="731" spans="1:16" ht="12.75">
      <c r="A731" s="10">
        <v>45</v>
      </c>
      <c r="B731" s="5" t="s">
        <v>217</v>
      </c>
      <c r="C731" s="13">
        <v>1493.57</v>
      </c>
      <c r="D731" s="25"/>
      <c r="E731" s="38">
        <f t="shared" si="49"/>
        <v>40808.1</v>
      </c>
      <c r="F731" s="13">
        <v>40808.1</v>
      </c>
      <c r="G731" s="37"/>
      <c r="H731" s="26">
        <v>11343</v>
      </c>
      <c r="I731" s="25">
        <v>16389</v>
      </c>
      <c r="J731" s="46">
        <f t="shared" si="46"/>
        <v>27732</v>
      </c>
      <c r="K731" s="26">
        <v>34066</v>
      </c>
      <c r="L731" s="10">
        <v>1837</v>
      </c>
      <c r="M731" s="33">
        <v>96</v>
      </c>
      <c r="N731" s="46">
        <f t="shared" si="47"/>
        <v>63731</v>
      </c>
      <c r="O731" s="50">
        <f t="shared" si="51"/>
        <v>3.555853871373064</v>
      </c>
      <c r="P731" s="30">
        <f t="shared" si="48"/>
        <v>-22922.9</v>
      </c>
    </row>
    <row r="732" spans="1:16" ht="12.75">
      <c r="A732" s="10">
        <v>46</v>
      </c>
      <c r="B732" s="5" t="s">
        <v>449</v>
      </c>
      <c r="C732" s="10">
        <v>1999.99</v>
      </c>
      <c r="D732" s="10"/>
      <c r="E732" s="13">
        <f t="shared" si="49"/>
        <v>211741.5</v>
      </c>
      <c r="F732" s="13">
        <v>211741.5</v>
      </c>
      <c r="G732" s="10"/>
      <c r="H732" s="10">
        <v>63154</v>
      </c>
      <c r="I732" s="10">
        <v>71732</v>
      </c>
      <c r="J732" s="10">
        <f t="shared" si="46"/>
        <v>134886</v>
      </c>
      <c r="K732" s="10">
        <v>55824</v>
      </c>
      <c r="L732" s="10">
        <v>12235</v>
      </c>
      <c r="M732" s="12">
        <v>1305</v>
      </c>
      <c r="N732" s="10">
        <f t="shared" si="47"/>
        <v>204250</v>
      </c>
      <c r="O732" s="14">
        <f t="shared" si="51"/>
        <v>8.510459218962762</v>
      </c>
      <c r="P732" s="30">
        <f t="shared" si="48"/>
        <v>7491.5</v>
      </c>
    </row>
    <row r="733" spans="1:16" ht="12.75">
      <c r="A733" s="10">
        <v>47</v>
      </c>
      <c r="B733" s="5" t="s">
        <v>527</v>
      </c>
      <c r="C733" s="10">
        <v>1443.12</v>
      </c>
      <c r="D733" s="10"/>
      <c r="E733" s="13">
        <f t="shared" si="49"/>
        <v>108779.7</v>
      </c>
      <c r="F733" s="13">
        <v>108779.7</v>
      </c>
      <c r="G733" s="10"/>
      <c r="H733" s="137">
        <v>34346</v>
      </c>
      <c r="I733" s="10">
        <v>23273</v>
      </c>
      <c r="J733" s="10">
        <f t="shared" si="46"/>
        <v>57619</v>
      </c>
      <c r="K733" s="10">
        <v>53077</v>
      </c>
      <c r="L733" s="10">
        <v>5033</v>
      </c>
      <c r="M733" s="10">
        <v>324</v>
      </c>
      <c r="N733" s="10">
        <f t="shared" si="47"/>
        <v>116053</v>
      </c>
      <c r="O733" s="14">
        <f t="shared" si="51"/>
        <v>6.701510153925754</v>
      </c>
      <c r="P733" s="30">
        <f t="shared" si="48"/>
        <v>-7273.300000000003</v>
      </c>
    </row>
    <row r="734" spans="1:16" ht="12.75">
      <c r="A734" s="10">
        <v>48</v>
      </c>
      <c r="B734" s="5" t="s">
        <v>575</v>
      </c>
      <c r="C734" s="10"/>
      <c r="D734" s="10"/>
      <c r="E734" s="13">
        <f t="shared" si="49"/>
        <v>12145.68</v>
      </c>
      <c r="F734" s="13">
        <v>12145.68</v>
      </c>
      <c r="G734" s="10"/>
      <c r="H734" s="137"/>
      <c r="I734" s="10"/>
      <c r="J734" s="10"/>
      <c r="K734" s="10"/>
      <c r="L734" s="10"/>
      <c r="M734" s="10"/>
      <c r="N734" s="10"/>
      <c r="O734" s="14"/>
      <c r="P734" s="30"/>
    </row>
    <row r="735" spans="1:16" ht="13.5" thickBot="1">
      <c r="A735" s="123"/>
      <c r="B735" s="124" t="s">
        <v>243</v>
      </c>
      <c r="C735" s="125">
        <f>SUM(C687:C733)</f>
        <v>158839.53000000003</v>
      </c>
      <c r="D735" s="126">
        <f>SUM(D687:D733)</f>
        <v>0</v>
      </c>
      <c r="E735" s="127">
        <f>SUM(E687:E734)</f>
        <v>16832915.449999996</v>
      </c>
      <c r="F735" s="128">
        <f>SUM(F687:F734)</f>
        <v>16832915.449999996</v>
      </c>
      <c r="G735" s="129"/>
      <c r="H735" s="130">
        <f aca="true" t="shared" si="52" ref="H735:N735">SUM(H687:H733)</f>
        <v>4588742</v>
      </c>
      <c r="I735" s="131">
        <f t="shared" si="52"/>
        <v>5499050</v>
      </c>
      <c r="J735" s="132">
        <f t="shared" si="52"/>
        <v>10087792</v>
      </c>
      <c r="K735" s="130">
        <f t="shared" si="52"/>
        <v>11914207</v>
      </c>
      <c r="L735" s="133">
        <f t="shared" si="52"/>
        <v>822768</v>
      </c>
      <c r="M735" s="126">
        <f t="shared" si="52"/>
        <v>99020</v>
      </c>
      <c r="N735" s="134">
        <f t="shared" si="52"/>
        <v>22923787</v>
      </c>
      <c r="O735" s="135">
        <f t="shared" si="51"/>
        <v>12.026701308756913</v>
      </c>
      <c r="P735" s="136">
        <f t="shared" si="48"/>
        <v>-6090871.5500000045</v>
      </c>
    </row>
    <row r="738" spans="2:13" ht="12.75">
      <c r="B738" s="29" t="s">
        <v>244</v>
      </c>
      <c r="C738" s="29"/>
      <c r="D738" s="29"/>
      <c r="E738" s="29"/>
      <c r="F738" s="29"/>
      <c r="G738" s="29"/>
      <c r="H738" s="29"/>
      <c r="I738" s="29"/>
      <c r="J738" s="29"/>
      <c r="K738" s="29"/>
      <c r="L738" s="29" t="s">
        <v>245</v>
      </c>
      <c r="M738" s="29"/>
    </row>
    <row r="739" spans="2:13" ht="12.75"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2:13" ht="12.75">
      <c r="B740" s="29" t="s">
        <v>246</v>
      </c>
      <c r="C740" s="29"/>
      <c r="D740" s="29"/>
      <c r="E740" s="29"/>
      <c r="F740" s="29"/>
      <c r="G740" s="29"/>
      <c r="H740" s="29"/>
      <c r="I740" s="29"/>
      <c r="J740" s="29"/>
      <c r="K740" s="29"/>
      <c r="L740" s="29" t="s">
        <v>247</v>
      </c>
      <c r="M740" s="29"/>
    </row>
  </sheetData>
  <mergeCells count="79">
    <mergeCell ref="E683:G683"/>
    <mergeCell ref="H683:O683"/>
    <mergeCell ref="P683:P685"/>
    <mergeCell ref="E684:E685"/>
    <mergeCell ref="F684:G684"/>
    <mergeCell ref="H684:O684"/>
    <mergeCell ref="A683:A685"/>
    <mergeCell ref="B683:B685"/>
    <mergeCell ref="C683:C685"/>
    <mergeCell ref="D683:D685"/>
    <mergeCell ref="E255:G255"/>
    <mergeCell ref="H255:O255"/>
    <mergeCell ref="P255:P257"/>
    <mergeCell ref="E256:E257"/>
    <mergeCell ref="F256:G256"/>
    <mergeCell ref="H256:O256"/>
    <mergeCell ref="A255:A257"/>
    <mergeCell ref="B255:B257"/>
    <mergeCell ref="C255:C257"/>
    <mergeCell ref="D255:D257"/>
    <mergeCell ref="E171:G171"/>
    <mergeCell ref="H171:O171"/>
    <mergeCell ref="P171:P173"/>
    <mergeCell ref="E172:E173"/>
    <mergeCell ref="F172:G172"/>
    <mergeCell ref="H172:O172"/>
    <mergeCell ref="A171:A173"/>
    <mergeCell ref="B171:B173"/>
    <mergeCell ref="C171:C173"/>
    <mergeCell ref="D171:D173"/>
    <mergeCell ref="H87:O87"/>
    <mergeCell ref="P87:P89"/>
    <mergeCell ref="E88:E89"/>
    <mergeCell ref="F88:G88"/>
    <mergeCell ref="H88:O88"/>
    <mergeCell ref="A87:A89"/>
    <mergeCell ref="B87:B89"/>
    <mergeCell ref="C87:C89"/>
    <mergeCell ref="E87:G87"/>
    <mergeCell ref="D87:D89"/>
    <mergeCell ref="P3:P5"/>
    <mergeCell ref="H4:O4"/>
    <mergeCell ref="B3:B5"/>
    <mergeCell ref="A3:A5"/>
    <mergeCell ref="H3:O3"/>
    <mergeCell ref="E3:G3"/>
    <mergeCell ref="F4:G4"/>
    <mergeCell ref="E4:E5"/>
    <mergeCell ref="D3:D5"/>
    <mergeCell ref="A339:A341"/>
    <mergeCell ref="B339:B341"/>
    <mergeCell ref="C339:C341"/>
    <mergeCell ref="D339:D341"/>
    <mergeCell ref="E339:G339"/>
    <mergeCell ref="H339:O339"/>
    <mergeCell ref="P339:P341"/>
    <mergeCell ref="E340:E341"/>
    <mergeCell ref="F340:G340"/>
    <mergeCell ref="H340:O340"/>
    <mergeCell ref="A424:A426"/>
    <mergeCell ref="B424:B426"/>
    <mergeCell ref="C424:C426"/>
    <mergeCell ref="D424:D426"/>
    <mergeCell ref="E424:G424"/>
    <mergeCell ref="H424:O424"/>
    <mergeCell ref="P424:P426"/>
    <mergeCell ref="E425:E426"/>
    <mergeCell ref="F425:G425"/>
    <mergeCell ref="H425:O425"/>
    <mergeCell ref="A604:A606"/>
    <mergeCell ref="B604:B606"/>
    <mergeCell ref="C604:C606"/>
    <mergeCell ref="D604:D606"/>
    <mergeCell ref="E604:G604"/>
    <mergeCell ref="H604:O604"/>
    <mergeCell ref="P604:P606"/>
    <mergeCell ref="E605:E606"/>
    <mergeCell ref="F605:G605"/>
    <mergeCell ref="H605:O60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2"/>
  <sheetViews>
    <sheetView workbookViewId="0" topLeftCell="A1">
      <selection activeCell="J1850" sqref="J1850:K1850"/>
    </sheetView>
  </sheetViews>
  <sheetFormatPr defaultColWidth="9.00390625" defaultRowHeight="12.75"/>
  <cols>
    <col min="1" max="1" width="5.75390625" style="0" customWidth="1"/>
    <col min="2" max="2" width="43.25390625" style="0" customWidth="1"/>
    <col min="3" max="3" width="6.25390625" style="0" customWidth="1"/>
    <col min="5" max="5" width="10.75390625" style="0" customWidth="1"/>
    <col min="6" max="6" width="10.25390625" style="0" customWidth="1"/>
    <col min="9" max="9" width="12.375" style="0" customWidth="1"/>
    <col min="10" max="10" width="11.25390625" style="0" customWidth="1"/>
    <col min="11" max="11" width="13.00390625" style="0" customWidth="1"/>
  </cols>
  <sheetData>
    <row r="1" spans="1:11" ht="12.75">
      <c r="A1" s="54"/>
      <c r="B1" s="54" t="s">
        <v>315</v>
      </c>
      <c r="C1" s="54"/>
      <c r="D1" s="54"/>
      <c r="E1" s="54"/>
      <c r="F1" s="54"/>
      <c r="G1" s="54"/>
      <c r="H1" s="54" t="s">
        <v>316</v>
      </c>
      <c r="I1" s="54"/>
      <c r="J1" s="54"/>
      <c r="K1" s="54"/>
    </row>
    <row r="2" spans="1:11" ht="12.75">
      <c r="A2" s="54"/>
      <c r="B2" s="54"/>
      <c r="C2" s="54"/>
      <c r="D2" s="54" t="s">
        <v>329</v>
      </c>
      <c r="E2" s="54"/>
      <c r="F2" s="54"/>
      <c r="G2" s="54"/>
      <c r="H2" s="54"/>
      <c r="I2" s="54"/>
      <c r="J2" s="54"/>
      <c r="K2" s="54"/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8" t="s">
        <v>341</v>
      </c>
      <c r="K3" s="58"/>
    </row>
    <row r="4" spans="1:11" ht="12.75">
      <c r="A4" s="209" t="s">
        <v>0</v>
      </c>
      <c r="B4" s="209" t="s">
        <v>317</v>
      </c>
      <c r="C4" s="209" t="s">
        <v>318</v>
      </c>
      <c r="D4" s="209" t="s">
        <v>319</v>
      </c>
      <c r="E4" s="212" t="s">
        <v>320</v>
      </c>
      <c r="F4" s="213"/>
      <c r="G4" s="213"/>
      <c r="H4" s="213"/>
      <c r="I4" s="214"/>
      <c r="J4" s="209" t="s">
        <v>326</v>
      </c>
      <c r="K4" s="209" t="s">
        <v>327</v>
      </c>
    </row>
    <row r="5" spans="1:11" ht="27.75" customHeight="1">
      <c r="A5" s="210"/>
      <c r="B5" s="210"/>
      <c r="C5" s="210"/>
      <c r="D5" s="210"/>
      <c r="E5" s="212" t="s">
        <v>321</v>
      </c>
      <c r="F5" s="214"/>
      <c r="G5" s="212" t="s">
        <v>322</v>
      </c>
      <c r="H5" s="214"/>
      <c r="I5" s="209" t="s">
        <v>325</v>
      </c>
      <c r="J5" s="210"/>
      <c r="K5" s="210"/>
    </row>
    <row r="6" spans="1:11" ht="64.5" customHeight="1">
      <c r="A6" s="211"/>
      <c r="B6" s="211"/>
      <c r="C6" s="211"/>
      <c r="D6" s="211"/>
      <c r="E6" s="55" t="s">
        <v>328</v>
      </c>
      <c r="F6" s="55" t="s">
        <v>328</v>
      </c>
      <c r="G6" s="55" t="s">
        <v>323</v>
      </c>
      <c r="H6" s="55" t="s">
        <v>324</v>
      </c>
      <c r="I6" s="211"/>
      <c r="J6" s="211"/>
      <c r="K6" s="211"/>
    </row>
    <row r="7" spans="1:11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>
      <c r="A9" s="57">
        <v>1</v>
      </c>
      <c r="B9" s="56" t="s">
        <v>330</v>
      </c>
      <c r="C9" s="57" t="s">
        <v>331</v>
      </c>
      <c r="D9" s="56"/>
      <c r="E9" s="56"/>
      <c r="F9" s="56"/>
      <c r="G9" s="56"/>
      <c r="H9" s="56"/>
      <c r="I9" s="56"/>
      <c r="J9" s="56"/>
      <c r="K9" s="56"/>
    </row>
    <row r="10" spans="1:11" ht="12.75">
      <c r="A10" s="57"/>
      <c r="B10" s="56" t="s">
        <v>332</v>
      </c>
      <c r="C10" s="57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7"/>
      <c r="B11" s="56"/>
      <c r="C11" s="54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7">
        <v>2</v>
      </c>
      <c r="B12" s="56" t="s">
        <v>333</v>
      </c>
      <c r="C12" s="57" t="s">
        <v>331</v>
      </c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57"/>
      <c r="B13" s="56" t="s">
        <v>332</v>
      </c>
      <c r="C13" s="57"/>
      <c r="D13" s="56"/>
      <c r="E13" s="56"/>
      <c r="F13" s="56"/>
      <c r="G13" s="56"/>
      <c r="H13" s="56"/>
      <c r="I13" s="56"/>
      <c r="J13" s="56"/>
      <c r="K13" s="56"/>
    </row>
    <row r="14" spans="1:11" ht="12.75">
      <c r="A14" s="57"/>
      <c r="B14" s="56"/>
      <c r="C14" s="57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7">
        <v>3</v>
      </c>
      <c r="B15" s="56" t="s">
        <v>334</v>
      </c>
      <c r="C15" s="57" t="s">
        <v>331</v>
      </c>
      <c r="D15" s="56"/>
      <c r="E15" s="56"/>
      <c r="F15" s="56"/>
      <c r="G15" s="56"/>
      <c r="H15" s="56"/>
      <c r="I15" s="56"/>
      <c r="J15" s="56"/>
      <c r="K15" s="56"/>
    </row>
    <row r="16" spans="1:11" ht="12.75">
      <c r="A16" s="57"/>
      <c r="B16" s="56" t="s">
        <v>332</v>
      </c>
      <c r="C16" s="57"/>
      <c r="D16" s="56"/>
      <c r="E16" s="56"/>
      <c r="F16" s="56"/>
      <c r="G16" s="56"/>
      <c r="H16" s="56"/>
      <c r="I16" s="56"/>
      <c r="J16" s="56"/>
      <c r="K16" s="56"/>
    </row>
    <row r="17" spans="1:11" ht="12.75">
      <c r="A17" s="57"/>
      <c r="B17" s="56"/>
      <c r="C17" s="57"/>
      <c r="D17" s="56"/>
      <c r="E17" s="56"/>
      <c r="F17" s="56"/>
      <c r="G17" s="56"/>
      <c r="H17" s="56"/>
      <c r="I17" s="56"/>
      <c r="J17" s="56"/>
      <c r="K17" s="56"/>
    </row>
    <row r="18" spans="1:11" ht="12.75">
      <c r="A18" s="57">
        <v>4</v>
      </c>
      <c r="B18" s="56" t="s">
        <v>335</v>
      </c>
      <c r="C18" s="57" t="s">
        <v>337</v>
      </c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57"/>
      <c r="B19" s="56" t="s">
        <v>332</v>
      </c>
      <c r="C19" s="57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7"/>
      <c r="B20" s="56"/>
      <c r="C20" s="57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7">
        <v>5</v>
      </c>
      <c r="B21" s="56" t="s">
        <v>336</v>
      </c>
      <c r="C21" s="57" t="s">
        <v>338</v>
      </c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6"/>
      <c r="B22" s="56" t="s">
        <v>332</v>
      </c>
      <c r="C22" s="57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54"/>
      <c r="B25" s="54" t="s">
        <v>339</v>
      </c>
      <c r="C25" s="54"/>
      <c r="D25" s="54"/>
      <c r="E25" s="54"/>
      <c r="F25" s="54"/>
      <c r="G25" s="54"/>
      <c r="H25" s="54"/>
      <c r="I25" s="54"/>
      <c r="J25" s="54" t="s">
        <v>247</v>
      </c>
      <c r="K25" s="54"/>
    </row>
    <row r="41" spans="1:11" ht="12.75">
      <c r="A41" s="54"/>
      <c r="B41" s="54" t="s">
        <v>315</v>
      </c>
      <c r="C41" s="54"/>
      <c r="D41" s="54"/>
      <c r="E41" s="54"/>
      <c r="F41" s="54"/>
      <c r="G41" s="54"/>
      <c r="H41" s="54" t="s">
        <v>316</v>
      </c>
      <c r="I41" s="54"/>
      <c r="J41" s="54"/>
      <c r="K41" s="54"/>
    </row>
    <row r="42" spans="1:11" ht="12.75">
      <c r="A42" s="54"/>
      <c r="B42" s="54"/>
      <c r="C42" s="54"/>
      <c r="D42" s="54" t="s">
        <v>329</v>
      </c>
      <c r="E42" s="54"/>
      <c r="F42" s="54"/>
      <c r="G42" s="54"/>
      <c r="H42" s="54"/>
      <c r="I42" s="54"/>
      <c r="J42" s="54"/>
      <c r="K42" s="54"/>
    </row>
    <row r="43" spans="1:11" ht="12.75">
      <c r="A43" s="54"/>
      <c r="B43" s="54"/>
      <c r="C43" s="54"/>
      <c r="D43" s="54"/>
      <c r="E43" s="54"/>
      <c r="F43" s="54"/>
      <c r="G43" s="54"/>
      <c r="H43" s="54"/>
      <c r="I43" s="54"/>
      <c r="J43" s="58" t="s">
        <v>341</v>
      </c>
      <c r="K43" s="58"/>
    </row>
    <row r="44" spans="1:11" ht="12.75">
      <c r="A44" s="209" t="s">
        <v>0</v>
      </c>
      <c r="B44" s="209" t="s">
        <v>317</v>
      </c>
      <c r="C44" s="209" t="s">
        <v>318</v>
      </c>
      <c r="D44" s="209" t="s">
        <v>319</v>
      </c>
      <c r="E44" s="212" t="s">
        <v>320</v>
      </c>
      <c r="F44" s="213"/>
      <c r="G44" s="213"/>
      <c r="H44" s="213"/>
      <c r="I44" s="214"/>
      <c r="J44" s="209" t="s">
        <v>326</v>
      </c>
      <c r="K44" s="209" t="s">
        <v>327</v>
      </c>
    </row>
    <row r="45" spans="1:11" ht="12.75">
      <c r="A45" s="210"/>
      <c r="B45" s="210"/>
      <c r="C45" s="210"/>
      <c r="D45" s="210"/>
      <c r="E45" s="212" t="s">
        <v>321</v>
      </c>
      <c r="F45" s="214"/>
      <c r="G45" s="212" t="s">
        <v>322</v>
      </c>
      <c r="H45" s="214"/>
      <c r="I45" s="209" t="s">
        <v>325</v>
      </c>
      <c r="J45" s="210"/>
      <c r="K45" s="210"/>
    </row>
    <row r="46" spans="1:11" ht="56.25">
      <c r="A46" s="211"/>
      <c r="B46" s="211"/>
      <c r="C46" s="211"/>
      <c r="D46" s="211"/>
      <c r="E46" s="55" t="s">
        <v>328</v>
      </c>
      <c r="F46" s="55" t="s">
        <v>328</v>
      </c>
      <c r="G46" s="55" t="s">
        <v>323</v>
      </c>
      <c r="H46" s="55" t="s">
        <v>324</v>
      </c>
      <c r="I46" s="211"/>
      <c r="J46" s="211"/>
      <c r="K46" s="211"/>
    </row>
    <row r="47" spans="1:11" ht="12.75">
      <c r="A47" s="53">
        <v>1</v>
      </c>
      <c r="B47" s="53">
        <v>2</v>
      </c>
      <c r="C47" s="53">
        <v>3</v>
      </c>
      <c r="D47" s="53">
        <v>4</v>
      </c>
      <c r="E47" s="53">
        <v>5</v>
      </c>
      <c r="F47" s="53">
        <v>6</v>
      </c>
      <c r="G47" s="53">
        <v>7</v>
      </c>
      <c r="H47" s="53">
        <v>8</v>
      </c>
      <c r="I47" s="53">
        <v>9</v>
      </c>
      <c r="J47" s="53">
        <v>10</v>
      </c>
      <c r="K47" s="53">
        <v>11</v>
      </c>
    </row>
    <row r="48" spans="1:11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>
      <c r="A49" s="57">
        <v>1</v>
      </c>
      <c r="B49" s="56" t="s">
        <v>330</v>
      </c>
      <c r="C49" s="57" t="s">
        <v>331</v>
      </c>
      <c r="D49" s="56"/>
      <c r="E49" s="56"/>
      <c r="F49" s="56"/>
      <c r="G49" s="56"/>
      <c r="H49" s="56"/>
      <c r="I49" s="56"/>
      <c r="J49" s="56"/>
      <c r="K49" s="56"/>
    </row>
    <row r="50" spans="1:11" ht="12.75">
      <c r="A50" s="57"/>
      <c r="B50" s="56" t="s">
        <v>332</v>
      </c>
      <c r="C50" s="57"/>
      <c r="D50" s="56"/>
      <c r="E50" s="56"/>
      <c r="F50" s="56"/>
      <c r="G50" s="56"/>
      <c r="H50" s="56"/>
      <c r="I50" s="56"/>
      <c r="J50" s="56"/>
      <c r="K50" s="56"/>
    </row>
    <row r="51" spans="1:11" ht="12.75">
      <c r="A51" s="57"/>
      <c r="B51" s="56"/>
      <c r="C51" s="54"/>
      <c r="D51" s="56"/>
      <c r="E51" s="56"/>
      <c r="F51" s="56"/>
      <c r="G51" s="56"/>
      <c r="H51" s="56"/>
      <c r="I51" s="56"/>
      <c r="J51" s="56"/>
      <c r="K51" s="56"/>
    </row>
    <row r="52" spans="1:11" ht="12.75">
      <c r="A52" s="57">
        <v>2</v>
      </c>
      <c r="B52" s="56" t="s">
        <v>333</v>
      </c>
      <c r="C52" s="57" t="s">
        <v>331</v>
      </c>
      <c r="D52" s="56"/>
      <c r="E52" s="56"/>
      <c r="F52" s="56"/>
      <c r="G52" s="56"/>
      <c r="H52" s="56"/>
      <c r="I52" s="56"/>
      <c r="J52" s="56"/>
      <c r="K52" s="56"/>
    </row>
    <row r="53" spans="1:11" ht="12.75">
      <c r="A53" s="57"/>
      <c r="B53" s="56" t="s">
        <v>332</v>
      </c>
      <c r="C53" s="57"/>
      <c r="D53" s="56"/>
      <c r="E53" s="56"/>
      <c r="F53" s="56"/>
      <c r="G53" s="56"/>
      <c r="H53" s="56"/>
      <c r="I53" s="56"/>
      <c r="J53" s="56"/>
      <c r="K53" s="56"/>
    </row>
    <row r="54" spans="1:11" ht="12.75">
      <c r="A54" s="57"/>
      <c r="B54" s="56"/>
      <c r="C54" s="57"/>
      <c r="D54" s="56"/>
      <c r="E54" s="56"/>
      <c r="F54" s="56"/>
      <c r="G54" s="56"/>
      <c r="H54" s="56"/>
      <c r="I54" s="56"/>
      <c r="J54" s="56"/>
      <c r="K54" s="56"/>
    </row>
    <row r="55" spans="1:11" ht="12.75">
      <c r="A55" s="57">
        <v>3</v>
      </c>
      <c r="B55" s="56" t="s">
        <v>334</v>
      </c>
      <c r="C55" s="57" t="s">
        <v>331</v>
      </c>
      <c r="D55" s="56"/>
      <c r="E55" s="56"/>
      <c r="F55" s="56"/>
      <c r="G55" s="56"/>
      <c r="H55" s="56"/>
      <c r="I55" s="56"/>
      <c r="J55" s="56"/>
      <c r="K55" s="56"/>
    </row>
    <row r="56" spans="1:11" ht="12.75">
      <c r="A56" s="57"/>
      <c r="B56" s="56" t="s">
        <v>332</v>
      </c>
      <c r="C56" s="57"/>
      <c r="D56" s="56"/>
      <c r="E56" s="56"/>
      <c r="F56" s="56"/>
      <c r="G56" s="56"/>
      <c r="H56" s="56"/>
      <c r="I56" s="56"/>
      <c r="J56" s="56"/>
      <c r="K56" s="56"/>
    </row>
    <row r="57" spans="1:11" ht="12.75">
      <c r="A57" s="57"/>
      <c r="B57" s="56"/>
      <c r="C57" s="57"/>
      <c r="D57" s="56"/>
      <c r="E57" s="56"/>
      <c r="F57" s="56"/>
      <c r="G57" s="56"/>
      <c r="H57" s="56"/>
      <c r="I57" s="56"/>
      <c r="J57" s="56"/>
      <c r="K57" s="56"/>
    </row>
    <row r="58" spans="1:11" ht="12.75">
      <c r="A58" s="57">
        <v>4</v>
      </c>
      <c r="B58" s="56" t="s">
        <v>335</v>
      </c>
      <c r="C58" s="57" t="s">
        <v>337</v>
      </c>
      <c r="D58" s="56"/>
      <c r="E58" s="56"/>
      <c r="F58" s="56"/>
      <c r="G58" s="56"/>
      <c r="H58" s="56"/>
      <c r="I58" s="56"/>
      <c r="J58" s="56"/>
      <c r="K58" s="56"/>
    </row>
    <row r="59" spans="1:11" ht="12.75">
      <c r="A59" s="57"/>
      <c r="B59" s="56" t="s">
        <v>332</v>
      </c>
      <c r="C59" s="57"/>
      <c r="D59" s="56"/>
      <c r="E59" s="56"/>
      <c r="F59" s="56"/>
      <c r="G59" s="56"/>
      <c r="H59" s="56"/>
      <c r="I59" s="56"/>
      <c r="J59" s="56"/>
      <c r="K59" s="56"/>
    </row>
    <row r="60" spans="1:11" ht="12.75">
      <c r="A60" s="57"/>
      <c r="B60" s="56"/>
      <c r="C60" s="57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7">
        <v>5</v>
      </c>
      <c r="B61" s="56" t="s">
        <v>336</v>
      </c>
      <c r="C61" s="57" t="s">
        <v>338</v>
      </c>
      <c r="D61" s="56"/>
      <c r="E61" s="56"/>
      <c r="F61" s="56"/>
      <c r="G61" s="56"/>
      <c r="H61" s="56"/>
      <c r="I61" s="56"/>
      <c r="J61" s="56"/>
      <c r="K61" s="56"/>
    </row>
    <row r="62" spans="1:11" ht="12.75">
      <c r="A62" s="56"/>
      <c r="B62" s="56" t="s">
        <v>332</v>
      </c>
      <c r="C62" s="57"/>
      <c r="D62" s="56"/>
      <c r="E62" s="56"/>
      <c r="F62" s="56"/>
      <c r="G62" s="56"/>
      <c r="H62" s="56"/>
      <c r="I62" s="56"/>
      <c r="J62" s="56"/>
      <c r="K62" s="56"/>
    </row>
    <row r="63" spans="1:11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54"/>
      <c r="B65" s="54" t="s">
        <v>339</v>
      </c>
      <c r="C65" s="54"/>
      <c r="D65" s="54"/>
      <c r="E65" s="54"/>
      <c r="F65" s="54"/>
      <c r="G65" s="54"/>
      <c r="H65" s="54"/>
      <c r="I65" s="54"/>
      <c r="J65" s="54" t="s">
        <v>247</v>
      </c>
      <c r="K65" s="54"/>
    </row>
    <row r="83" spans="1:11" ht="12.75">
      <c r="A83" s="54"/>
      <c r="B83" s="54" t="s">
        <v>315</v>
      </c>
      <c r="C83" s="54"/>
      <c r="D83" s="54"/>
      <c r="E83" s="54"/>
      <c r="F83" s="54"/>
      <c r="G83" s="54"/>
      <c r="H83" s="54" t="s">
        <v>316</v>
      </c>
      <c r="I83" s="54"/>
      <c r="J83" s="54"/>
      <c r="K83" s="54"/>
    </row>
    <row r="84" spans="1:11" ht="12.75">
      <c r="A84" s="54"/>
      <c r="B84" s="54"/>
      <c r="C84" s="54"/>
      <c r="D84" s="54" t="s">
        <v>329</v>
      </c>
      <c r="E84" s="54"/>
      <c r="F84" s="54"/>
      <c r="G84" s="54"/>
      <c r="H84" s="54"/>
      <c r="I84" s="54"/>
      <c r="J84" s="54"/>
      <c r="K84" s="54"/>
    </row>
    <row r="85" spans="1:11" ht="12.75">
      <c r="A85" s="54"/>
      <c r="B85" s="54"/>
      <c r="C85" s="54"/>
      <c r="D85" s="54"/>
      <c r="E85" s="54"/>
      <c r="F85" s="54"/>
      <c r="G85" s="54"/>
      <c r="H85" s="54"/>
      <c r="I85" s="54"/>
      <c r="J85" s="58" t="s">
        <v>341</v>
      </c>
      <c r="K85" s="58"/>
    </row>
    <row r="86" spans="1:11" ht="12.75">
      <c r="A86" s="209" t="s">
        <v>0</v>
      </c>
      <c r="B86" s="209" t="s">
        <v>317</v>
      </c>
      <c r="C86" s="209" t="s">
        <v>318</v>
      </c>
      <c r="D86" s="209" t="s">
        <v>319</v>
      </c>
      <c r="E86" s="212" t="s">
        <v>320</v>
      </c>
      <c r="F86" s="213"/>
      <c r="G86" s="213"/>
      <c r="H86" s="213"/>
      <c r="I86" s="214"/>
      <c r="J86" s="209" t="s">
        <v>326</v>
      </c>
      <c r="K86" s="209" t="s">
        <v>327</v>
      </c>
    </row>
    <row r="87" spans="1:11" ht="12.75">
      <c r="A87" s="210"/>
      <c r="B87" s="210"/>
      <c r="C87" s="210"/>
      <c r="D87" s="210"/>
      <c r="E87" s="212" t="s">
        <v>321</v>
      </c>
      <c r="F87" s="214"/>
      <c r="G87" s="212" t="s">
        <v>322</v>
      </c>
      <c r="H87" s="214"/>
      <c r="I87" s="209" t="s">
        <v>325</v>
      </c>
      <c r="J87" s="210"/>
      <c r="K87" s="210"/>
    </row>
    <row r="88" spans="1:11" ht="56.25">
      <c r="A88" s="211"/>
      <c r="B88" s="211"/>
      <c r="C88" s="211"/>
      <c r="D88" s="211"/>
      <c r="E88" s="55" t="s">
        <v>328</v>
      </c>
      <c r="F88" s="55" t="s">
        <v>328</v>
      </c>
      <c r="G88" s="55" t="s">
        <v>323</v>
      </c>
      <c r="H88" s="55" t="s">
        <v>324</v>
      </c>
      <c r="I88" s="211"/>
      <c r="J88" s="211"/>
      <c r="K88" s="211"/>
    </row>
    <row r="89" spans="1:11" ht="12.75">
      <c r="A89" s="53">
        <v>1</v>
      </c>
      <c r="B89" s="53">
        <v>2</v>
      </c>
      <c r="C89" s="53">
        <v>3</v>
      </c>
      <c r="D89" s="53">
        <v>4</v>
      </c>
      <c r="E89" s="53">
        <v>5</v>
      </c>
      <c r="F89" s="53">
        <v>6</v>
      </c>
      <c r="G89" s="53">
        <v>7</v>
      </c>
      <c r="H89" s="53">
        <v>8</v>
      </c>
      <c r="I89" s="53">
        <v>9</v>
      </c>
      <c r="J89" s="53">
        <v>10</v>
      </c>
      <c r="K89" s="53">
        <v>11</v>
      </c>
    </row>
    <row r="90" spans="1:11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>
      <c r="A91" s="57">
        <v>1</v>
      </c>
      <c r="B91" s="56" t="s">
        <v>330</v>
      </c>
      <c r="C91" s="57" t="s">
        <v>331</v>
      </c>
      <c r="D91" s="56"/>
      <c r="E91" s="56"/>
      <c r="F91" s="56"/>
      <c r="G91" s="56"/>
      <c r="H91" s="56"/>
      <c r="I91" s="56"/>
      <c r="J91" s="56"/>
      <c r="K91" s="56"/>
    </row>
    <row r="92" spans="1:11" ht="12.75">
      <c r="A92" s="57"/>
      <c r="B92" s="56" t="s">
        <v>332</v>
      </c>
      <c r="C92" s="57"/>
      <c r="D92" s="56"/>
      <c r="E92" s="56"/>
      <c r="F92" s="56"/>
      <c r="G92" s="56"/>
      <c r="H92" s="56"/>
      <c r="I92" s="56"/>
      <c r="J92" s="56"/>
      <c r="K92" s="56"/>
    </row>
    <row r="93" spans="1:11" ht="12.75">
      <c r="A93" s="57"/>
      <c r="B93" s="56"/>
      <c r="C93" s="54"/>
      <c r="D93" s="56"/>
      <c r="E93" s="56"/>
      <c r="F93" s="56"/>
      <c r="G93" s="56"/>
      <c r="H93" s="56"/>
      <c r="I93" s="56"/>
      <c r="J93" s="56"/>
      <c r="K93" s="56"/>
    </row>
    <row r="94" spans="1:11" ht="12.75">
      <c r="A94" s="57">
        <v>2</v>
      </c>
      <c r="B94" s="56" t="s">
        <v>333</v>
      </c>
      <c r="C94" s="57" t="s">
        <v>331</v>
      </c>
      <c r="D94" s="56"/>
      <c r="E94" s="56"/>
      <c r="F94" s="56"/>
      <c r="G94" s="56"/>
      <c r="H94" s="56"/>
      <c r="I94" s="56"/>
      <c r="J94" s="56"/>
      <c r="K94" s="56"/>
    </row>
    <row r="95" spans="1:11" ht="12.75">
      <c r="A95" s="57"/>
      <c r="B95" s="56" t="s">
        <v>332</v>
      </c>
      <c r="C95" s="57"/>
      <c r="D95" s="56"/>
      <c r="E95" s="56"/>
      <c r="F95" s="56"/>
      <c r="G95" s="56"/>
      <c r="H95" s="56"/>
      <c r="I95" s="56"/>
      <c r="J95" s="56"/>
      <c r="K95" s="56"/>
    </row>
    <row r="96" spans="1:11" ht="12.75">
      <c r="A96" s="57"/>
      <c r="B96" s="56"/>
      <c r="C96" s="57"/>
      <c r="D96" s="56"/>
      <c r="E96" s="56"/>
      <c r="F96" s="56"/>
      <c r="G96" s="56"/>
      <c r="H96" s="56"/>
      <c r="I96" s="56"/>
      <c r="J96" s="56"/>
      <c r="K96" s="56"/>
    </row>
    <row r="97" spans="1:11" ht="12.75">
      <c r="A97" s="57">
        <v>3</v>
      </c>
      <c r="B97" s="56" t="s">
        <v>334</v>
      </c>
      <c r="C97" s="57" t="s">
        <v>331</v>
      </c>
      <c r="D97" s="56"/>
      <c r="E97" s="56"/>
      <c r="F97" s="56"/>
      <c r="G97" s="56"/>
      <c r="H97" s="56"/>
      <c r="I97" s="56"/>
      <c r="J97" s="56"/>
      <c r="K97" s="56"/>
    </row>
    <row r="98" spans="1:11" ht="12.75">
      <c r="A98" s="57"/>
      <c r="B98" s="56" t="s">
        <v>332</v>
      </c>
      <c r="C98" s="57"/>
      <c r="D98" s="56"/>
      <c r="E98" s="56"/>
      <c r="F98" s="56"/>
      <c r="G98" s="56"/>
      <c r="H98" s="56"/>
      <c r="I98" s="56"/>
      <c r="J98" s="56"/>
      <c r="K98" s="56"/>
    </row>
    <row r="99" spans="1:11" ht="12.75">
      <c r="A99" s="57"/>
      <c r="B99" s="56"/>
      <c r="C99" s="57"/>
      <c r="D99" s="56"/>
      <c r="E99" s="56"/>
      <c r="F99" s="56"/>
      <c r="G99" s="56"/>
      <c r="H99" s="56"/>
      <c r="I99" s="56"/>
      <c r="J99" s="56"/>
      <c r="K99" s="56"/>
    </row>
    <row r="100" spans="1:11" ht="12.75">
      <c r="A100" s="57">
        <v>4</v>
      </c>
      <c r="B100" s="56" t="s">
        <v>335</v>
      </c>
      <c r="C100" s="57" t="s">
        <v>337</v>
      </c>
      <c r="D100" s="56"/>
      <c r="E100" s="56"/>
      <c r="F100" s="56"/>
      <c r="G100" s="56"/>
      <c r="H100" s="56"/>
      <c r="I100" s="56"/>
      <c r="J100" s="56"/>
      <c r="K100" s="56"/>
    </row>
    <row r="101" spans="1:11" ht="12.75">
      <c r="A101" s="57"/>
      <c r="B101" s="56" t="s">
        <v>332</v>
      </c>
      <c r="C101" s="57"/>
      <c r="D101" s="56"/>
      <c r="E101" s="56"/>
      <c r="F101" s="56"/>
      <c r="G101" s="56"/>
      <c r="H101" s="56"/>
      <c r="I101" s="56"/>
      <c r="J101" s="56"/>
      <c r="K101" s="56"/>
    </row>
    <row r="102" spans="1:11" ht="12.75">
      <c r="A102" s="57"/>
      <c r="B102" s="56"/>
      <c r="C102" s="57"/>
      <c r="D102" s="56"/>
      <c r="E102" s="56"/>
      <c r="F102" s="56"/>
      <c r="G102" s="56"/>
      <c r="H102" s="56"/>
      <c r="I102" s="56"/>
      <c r="J102" s="56"/>
      <c r="K102" s="56"/>
    </row>
    <row r="103" spans="1:11" ht="12.75">
      <c r="A103" s="57">
        <v>5</v>
      </c>
      <c r="B103" s="56" t="s">
        <v>336</v>
      </c>
      <c r="C103" s="57" t="s">
        <v>338</v>
      </c>
      <c r="D103" s="56"/>
      <c r="E103" s="56"/>
      <c r="F103" s="56"/>
      <c r="G103" s="56"/>
      <c r="H103" s="56"/>
      <c r="I103" s="56"/>
      <c r="J103" s="56"/>
      <c r="K103" s="56"/>
    </row>
    <row r="104" spans="1:11" ht="12.75">
      <c r="A104" s="56"/>
      <c r="B104" s="56" t="s">
        <v>332</v>
      </c>
      <c r="C104" s="57"/>
      <c r="D104" s="56"/>
      <c r="E104" s="56"/>
      <c r="F104" s="56"/>
      <c r="G104" s="56"/>
      <c r="H104" s="56"/>
      <c r="I104" s="56"/>
      <c r="J104" s="56"/>
      <c r="K104" s="56"/>
    </row>
    <row r="105" spans="1:11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>
      <c r="A107" s="54"/>
      <c r="B107" s="54" t="s">
        <v>339</v>
      </c>
      <c r="C107" s="54"/>
      <c r="D107" s="54"/>
      <c r="E107" s="54"/>
      <c r="F107" s="54"/>
      <c r="G107" s="54"/>
      <c r="H107" s="54"/>
      <c r="I107" s="54"/>
      <c r="J107" s="54" t="s">
        <v>247</v>
      </c>
      <c r="K107" s="54"/>
    </row>
    <row r="126" spans="1:11" ht="12.75">
      <c r="A126" s="54"/>
      <c r="B126" s="54" t="s">
        <v>315</v>
      </c>
      <c r="C126" s="54"/>
      <c r="D126" s="54"/>
      <c r="E126" s="54"/>
      <c r="F126" s="54"/>
      <c r="G126" s="54"/>
      <c r="H126" s="54" t="s">
        <v>316</v>
      </c>
      <c r="I126" s="54"/>
      <c r="J126" s="54"/>
      <c r="K126" s="54"/>
    </row>
    <row r="127" spans="1:11" ht="12.75">
      <c r="A127" s="54"/>
      <c r="B127" s="54"/>
      <c r="C127" s="54"/>
      <c r="D127" s="54" t="s">
        <v>329</v>
      </c>
      <c r="E127" s="54"/>
      <c r="F127" s="54"/>
      <c r="G127" s="54"/>
      <c r="H127" s="54"/>
      <c r="I127" s="54"/>
      <c r="J127" s="54"/>
      <c r="K127" s="54"/>
    </row>
    <row r="128" spans="1:1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8" t="s">
        <v>341</v>
      </c>
      <c r="K128" s="58"/>
    </row>
    <row r="129" spans="1:11" ht="12.75">
      <c r="A129" s="209" t="s">
        <v>0</v>
      </c>
      <c r="B129" s="209" t="s">
        <v>317</v>
      </c>
      <c r="C129" s="209" t="s">
        <v>318</v>
      </c>
      <c r="D129" s="209" t="s">
        <v>319</v>
      </c>
      <c r="E129" s="212" t="s">
        <v>320</v>
      </c>
      <c r="F129" s="213"/>
      <c r="G129" s="213"/>
      <c r="H129" s="213"/>
      <c r="I129" s="214"/>
      <c r="J129" s="209" t="s">
        <v>326</v>
      </c>
      <c r="K129" s="209" t="s">
        <v>327</v>
      </c>
    </row>
    <row r="130" spans="1:11" ht="12.75">
      <c r="A130" s="210"/>
      <c r="B130" s="210"/>
      <c r="C130" s="210"/>
      <c r="D130" s="210"/>
      <c r="E130" s="212" t="s">
        <v>321</v>
      </c>
      <c r="F130" s="214"/>
      <c r="G130" s="212" t="s">
        <v>322</v>
      </c>
      <c r="H130" s="214"/>
      <c r="I130" s="209" t="s">
        <v>325</v>
      </c>
      <c r="J130" s="210"/>
      <c r="K130" s="210"/>
    </row>
    <row r="131" spans="1:11" ht="56.25">
      <c r="A131" s="211"/>
      <c r="B131" s="211"/>
      <c r="C131" s="211"/>
      <c r="D131" s="211"/>
      <c r="E131" s="55" t="s">
        <v>328</v>
      </c>
      <c r="F131" s="55" t="s">
        <v>328</v>
      </c>
      <c r="G131" s="55" t="s">
        <v>323</v>
      </c>
      <c r="H131" s="55" t="s">
        <v>324</v>
      </c>
      <c r="I131" s="211"/>
      <c r="J131" s="211"/>
      <c r="K131" s="211"/>
    </row>
    <row r="132" spans="1:11" ht="12.75">
      <c r="A132" s="53">
        <v>1</v>
      </c>
      <c r="B132" s="53">
        <v>2</v>
      </c>
      <c r="C132" s="53">
        <v>3</v>
      </c>
      <c r="D132" s="53">
        <v>4</v>
      </c>
      <c r="E132" s="53">
        <v>5</v>
      </c>
      <c r="F132" s="53">
        <v>6</v>
      </c>
      <c r="G132" s="53">
        <v>7</v>
      </c>
      <c r="H132" s="53">
        <v>8</v>
      </c>
      <c r="I132" s="53">
        <v>9</v>
      </c>
      <c r="J132" s="53">
        <v>10</v>
      </c>
      <c r="K132" s="53">
        <v>11</v>
      </c>
    </row>
    <row r="133" spans="1:11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>
      <c r="A134" s="57">
        <v>1</v>
      </c>
      <c r="B134" s="56" t="s">
        <v>330</v>
      </c>
      <c r="C134" s="57" t="s">
        <v>331</v>
      </c>
      <c r="D134" s="56"/>
      <c r="E134" s="56"/>
      <c r="F134" s="56"/>
      <c r="G134" s="56"/>
      <c r="H134" s="56"/>
      <c r="I134" s="56"/>
      <c r="J134" s="56"/>
      <c r="K134" s="56"/>
    </row>
    <row r="135" spans="1:11" ht="12.75">
      <c r="A135" s="57"/>
      <c r="B135" s="56" t="s">
        <v>332</v>
      </c>
      <c r="C135" s="57"/>
      <c r="D135" s="56"/>
      <c r="E135" s="56"/>
      <c r="F135" s="56"/>
      <c r="G135" s="56"/>
      <c r="H135" s="56"/>
      <c r="I135" s="56"/>
      <c r="J135" s="56"/>
      <c r="K135" s="56"/>
    </row>
    <row r="136" spans="1:11" ht="12.75">
      <c r="A136" s="57"/>
      <c r="B136" s="56"/>
      <c r="C136" s="54"/>
      <c r="D136" s="56"/>
      <c r="E136" s="56"/>
      <c r="F136" s="56"/>
      <c r="G136" s="56"/>
      <c r="H136" s="56"/>
      <c r="I136" s="56"/>
      <c r="J136" s="56"/>
      <c r="K136" s="56"/>
    </row>
    <row r="137" spans="1:11" ht="12.75">
      <c r="A137" s="57">
        <v>2</v>
      </c>
      <c r="B137" s="56" t="s">
        <v>333</v>
      </c>
      <c r="C137" s="57" t="s">
        <v>331</v>
      </c>
      <c r="D137" s="56"/>
      <c r="E137" s="56"/>
      <c r="F137" s="56"/>
      <c r="G137" s="56"/>
      <c r="H137" s="56"/>
      <c r="I137" s="56"/>
      <c r="J137" s="56"/>
      <c r="K137" s="56"/>
    </row>
    <row r="138" spans="1:11" ht="12.75">
      <c r="A138" s="57"/>
      <c r="B138" s="56" t="s">
        <v>332</v>
      </c>
      <c r="C138" s="57"/>
      <c r="D138" s="56"/>
      <c r="E138" s="56"/>
      <c r="F138" s="56"/>
      <c r="G138" s="56"/>
      <c r="H138" s="56"/>
      <c r="I138" s="56"/>
      <c r="J138" s="56"/>
      <c r="K138" s="56"/>
    </row>
    <row r="139" spans="1:11" ht="12.75">
      <c r="A139" s="57"/>
      <c r="B139" s="56"/>
      <c r="C139" s="57"/>
      <c r="D139" s="56"/>
      <c r="E139" s="56"/>
      <c r="F139" s="56"/>
      <c r="G139" s="56"/>
      <c r="H139" s="56"/>
      <c r="I139" s="56"/>
      <c r="J139" s="56"/>
      <c r="K139" s="56"/>
    </row>
    <row r="140" spans="1:11" ht="12.75">
      <c r="A140" s="57">
        <v>3</v>
      </c>
      <c r="B140" s="56" t="s">
        <v>334</v>
      </c>
      <c r="C140" s="57" t="s">
        <v>331</v>
      </c>
      <c r="D140" s="56"/>
      <c r="E140" s="56"/>
      <c r="F140" s="56"/>
      <c r="G140" s="56"/>
      <c r="H140" s="56"/>
      <c r="I140" s="56"/>
      <c r="J140" s="56"/>
      <c r="K140" s="56"/>
    </row>
    <row r="141" spans="1:11" ht="12.75">
      <c r="A141" s="57"/>
      <c r="B141" s="56" t="s">
        <v>332</v>
      </c>
      <c r="C141" s="57"/>
      <c r="D141" s="56"/>
      <c r="E141" s="56"/>
      <c r="F141" s="56"/>
      <c r="G141" s="56"/>
      <c r="H141" s="56"/>
      <c r="I141" s="56"/>
      <c r="J141" s="56"/>
      <c r="K141" s="56"/>
    </row>
    <row r="142" spans="1:11" ht="12.75">
      <c r="A142" s="57"/>
      <c r="B142" s="56"/>
      <c r="C142" s="57"/>
      <c r="D142" s="56"/>
      <c r="E142" s="56"/>
      <c r="F142" s="56"/>
      <c r="G142" s="56"/>
      <c r="H142" s="56"/>
      <c r="I142" s="56"/>
      <c r="J142" s="56"/>
      <c r="K142" s="56"/>
    </row>
    <row r="143" spans="1:11" ht="12.75">
      <c r="A143" s="57">
        <v>4</v>
      </c>
      <c r="B143" s="56" t="s">
        <v>335</v>
      </c>
      <c r="C143" s="57" t="s">
        <v>337</v>
      </c>
      <c r="D143" s="56"/>
      <c r="E143" s="56"/>
      <c r="F143" s="56"/>
      <c r="G143" s="56"/>
      <c r="H143" s="56"/>
      <c r="I143" s="56"/>
      <c r="J143" s="56"/>
      <c r="K143" s="56"/>
    </row>
    <row r="144" spans="1:11" ht="12.75">
      <c r="A144" s="57"/>
      <c r="B144" s="56" t="s">
        <v>332</v>
      </c>
      <c r="C144" s="57"/>
      <c r="D144" s="56"/>
      <c r="E144" s="56"/>
      <c r="F144" s="56"/>
      <c r="G144" s="56"/>
      <c r="H144" s="56"/>
      <c r="I144" s="56"/>
      <c r="J144" s="56"/>
      <c r="K144" s="56"/>
    </row>
    <row r="145" spans="1:11" ht="12.75">
      <c r="A145" s="57"/>
      <c r="B145" s="56"/>
      <c r="C145" s="57"/>
      <c r="D145" s="56"/>
      <c r="E145" s="56"/>
      <c r="F145" s="56"/>
      <c r="G145" s="56"/>
      <c r="H145" s="56"/>
      <c r="I145" s="56"/>
      <c r="J145" s="56"/>
      <c r="K145" s="56"/>
    </row>
    <row r="146" spans="1:11" ht="12.75">
      <c r="A146" s="57">
        <v>5</v>
      </c>
      <c r="B146" s="56" t="s">
        <v>336</v>
      </c>
      <c r="C146" s="57" t="s">
        <v>338</v>
      </c>
      <c r="D146" s="56"/>
      <c r="E146" s="56"/>
      <c r="F146" s="56"/>
      <c r="G146" s="56"/>
      <c r="H146" s="56"/>
      <c r="I146" s="56"/>
      <c r="J146" s="56"/>
      <c r="K146" s="56"/>
    </row>
    <row r="147" spans="1:11" ht="12.75">
      <c r="A147" s="56"/>
      <c r="B147" s="56" t="s">
        <v>332</v>
      </c>
      <c r="C147" s="57"/>
      <c r="D147" s="56"/>
      <c r="E147" s="56"/>
      <c r="F147" s="56"/>
      <c r="G147" s="56"/>
      <c r="H147" s="56"/>
      <c r="I147" s="56"/>
      <c r="J147" s="56"/>
      <c r="K147" s="56"/>
    </row>
    <row r="148" spans="1:11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>
      <c r="A150" s="54"/>
      <c r="B150" s="54" t="s">
        <v>339</v>
      </c>
      <c r="C150" s="54"/>
      <c r="D150" s="54"/>
      <c r="E150" s="54"/>
      <c r="F150" s="54"/>
      <c r="G150" s="54"/>
      <c r="H150" s="54"/>
      <c r="I150" s="54"/>
      <c r="J150" s="54" t="s">
        <v>247</v>
      </c>
      <c r="K150" s="54"/>
    </row>
    <row r="168" spans="1:11" ht="12.75">
      <c r="A168" s="54"/>
      <c r="B168" s="54" t="s">
        <v>315</v>
      </c>
      <c r="C168" s="54"/>
      <c r="D168" s="54"/>
      <c r="E168" s="54"/>
      <c r="F168" s="54"/>
      <c r="G168" s="54"/>
      <c r="H168" s="54" t="s">
        <v>316</v>
      </c>
      <c r="I168" s="54"/>
      <c r="J168" s="54"/>
      <c r="K168" s="54"/>
    </row>
    <row r="169" spans="1:11" ht="12.75">
      <c r="A169" s="54"/>
      <c r="B169" s="54"/>
      <c r="C169" s="54"/>
      <c r="D169" s="54" t="s">
        <v>329</v>
      </c>
      <c r="E169" s="54"/>
      <c r="F169" s="54"/>
      <c r="G169" s="54"/>
      <c r="H169" s="54"/>
      <c r="I169" s="54"/>
      <c r="J169" s="54"/>
      <c r="K169" s="54"/>
    </row>
    <row r="170" spans="1:1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8" t="s">
        <v>341</v>
      </c>
      <c r="K170" s="58"/>
    </row>
    <row r="171" spans="1:11" ht="12.75">
      <c r="A171" s="209" t="s">
        <v>0</v>
      </c>
      <c r="B171" s="209" t="s">
        <v>317</v>
      </c>
      <c r="C171" s="209" t="s">
        <v>318</v>
      </c>
      <c r="D171" s="209" t="s">
        <v>319</v>
      </c>
      <c r="E171" s="212" t="s">
        <v>320</v>
      </c>
      <c r="F171" s="213"/>
      <c r="G171" s="213"/>
      <c r="H171" s="213"/>
      <c r="I171" s="214"/>
      <c r="J171" s="209" t="s">
        <v>326</v>
      </c>
      <c r="K171" s="209" t="s">
        <v>327</v>
      </c>
    </row>
    <row r="172" spans="1:11" ht="12.75">
      <c r="A172" s="210"/>
      <c r="B172" s="210"/>
      <c r="C172" s="210"/>
      <c r="D172" s="210"/>
      <c r="E172" s="212" t="s">
        <v>321</v>
      </c>
      <c r="F172" s="214"/>
      <c r="G172" s="212" t="s">
        <v>322</v>
      </c>
      <c r="H172" s="214"/>
      <c r="I172" s="209" t="s">
        <v>325</v>
      </c>
      <c r="J172" s="210"/>
      <c r="K172" s="210"/>
    </row>
    <row r="173" spans="1:11" ht="56.25">
      <c r="A173" s="211"/>
      <c r="B173" s="211"/>
      <c r="C173" s="211"/>
      <c r="D173" s="211"/>
      <c r="E173" s="55" t="s">
        <v>328</v>
      </c>
      <c r="F173" s="55" t="s">
        <v>328</v>
      </c>
      <c r="G173" s="55" t="s">
        <v>323</v>
      </c>
      <c r="H173" s="55" t="s">
        <v>324</v>
      </c>
      <c r="I173" s="211"/>
      <c r="J173" s="211"/>
      <c r="K173" s="211"/>
    </row>
    <row r="174" spans="1:11" ht="12.75">
      <c r="A174" s="53">
        <v>1</v>
      </c>
      <c r="B174" s="53">
        <v>2</v>
      </c>
      <c r="C174" s="53">
        <v>3</v>
      </c>
      <c r="D174" s="53">
        <v>4</v>
      </c>
      <c r="E174" s="53">
        <v>5</v>
      </c>
      <c r="F174" s="53">
        <v>6</v>
      </c>
      <c r="G174" s="53">
        <v>7</v>
      </c>
      <c r="H174" s="53">
        <v>8</v>
      </c>
      <c r="I174" s="53">
        <v>9</v>
      </c>
      <c r="J174" s="53">
        <v>10</v>
      </c>
      <c r="K174" s="53">
        <v>11</v>
      </c>
    </row>
    <row r="175" spans="1:11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1:11" ht="12.75">
      <c r="A176" s="57">
        <v>1</v>
      </c>
      <c r="B176" s="56" t="s">
        <v>330</v>
      </c>
      <c r="C176" s="57" t="s">
        <v>331</v>
      </c>
      <c r="D176" s="56"/>
      <c r="E176" s="56"/>
      <c r="F176" s="56"/>
      <c r="G176" s="56"/>
      <c r="H176" s="56"/>
      <c r="I176" s="56"/>
      <c r="J176" s="56"/>
      <c r="K176" s="56"/>
    </row>
    <row r="177" spans="1:11" ht="12.75">
      <c r="A177" s="57"/>
      <c r="B177" s="56" t="s">
        <v>332</v>
      </c>
      <c r="C177" s="57"/>
      <c r="D177" s="56"/>
      <c r="E177" s="56"/>
      <c r="F177" s="56"/>
      <c r="G177" s="56"/>
      <c r="H177" s="56"/>
      <c r="I177" s="56"/>
      <c r="J177" s="56"/>
      <c r="K177" s="56"/>
    </row>
    <row r="178" spans="1:11" ht="12.75">
      <c r="A178" s="57"/>
      <c r="B178" s="56"/>
      <c r="C178" s="54"/>
      <c r="D178" s="56"/>
      <c r="E178" s="56"/>
      <c r="F178" s="56"/>
      <c r="G178" s="56"/>
      <c r="H178" s="56"/>
      <c r="I178" s="56"/>
      <c r="J178" s="56"/>
      <c r="K178" s="56"/>
    </row>
    <row r="179" spans="1:11" ht="12.75">
      <c r="A179" s="57">
        <v>2</v>
      </c>
      <c r="B179" s="56" t="s">
        <v>333</v>
      </c>
      <c r="C179" s="57" t="s">
        <v>331</v>
      </c>
      <c r="D179" s="56"/>
      <c r="E179" s="56"/>
      <c r="F179" s="56"/>
      <c r="G179" s="56"/>
      <c r="H179" s="56"/>
      <c r="I179" s="56"/>
      <c r="J179" s="56"/>
      <c r="K179" s="56"/>
    </row>
    <row r="180" spans="1:11" ht="12.75">
      <c r="A180" s="57"/>
      <c r="B180" s="56" t="s">
        <v>332</v>
      </c>
      <c r="C180" s="57"/>
      <c r="D180" s="56"/>
      <c r="E180" s="56"/>
      <c r="F180" s="56"/>
      <c r="G180" s="56"/>
      <c r="H180" s="56"/>
      <c r="I180" s="56"/>
      <c r="J180" s="56"/>
      <c r="K180" s="56"/>
    </row>
    <row r="181" spans="1:11" ht="12.75">
      <c r="A181" s="57"/>
      <c r="B181" s="56"/>
      <c r="C181" s="57"/>
      <c r="D181" s="56"/>
      <c r="E181" s="56"/>
      <c r="F181" s="56"/>
      <c r="G181" s="56"/>
      <c r="H181" s="56"/>
      <c r="I181" s="56"/>
      <c r="J181" s="56"/>
      <c r="K181" s="56"/>
    </row>
    <row r="182" spans="1:11" ht="12.75">
      <c r="A182" s="57">
        <v>3</v>
      </c>
      <c r="B182" s="56" t="s">
        <v>334</v>
      </c>
      <c r="C182" s="57" t="s">
        <v>331</v>
      </c>
      <c r="D182" s="56"/>
      <c r="E182" s="56"/>
      <c r="F182" s="56"/>
      <c r="G182" s="56"/>
      <c r="H182" s="56"/>
      <c r="I182" s="56"/>
      <c r="J182" s="56"/>
      <c r="K182" s="56"/>
    </row>
    <row r="183" spans="1:11" ht="12.75">
      <c r="A183" s="57"/>
      <c r="B183" s="56" t="s">
        <v>332</v>
      </c>
      <c r="C183" s="57"/>
      <c r="D183" s="56"/>
      <c r="E183" s="56"/>
      <c r="F183" s="56"/>
      <c r="G183" s="56"/>
      <c r="H183" s="56"/>
      <c r="I183" s="56"/>
      <c r="J183" s="56"/>
      <c r="K183" s="56"/>
    </row>
    <row r="184" spans="1:11" ht="12.75">
      <c r="A184" s="57"/>
      <c r="B184" s="56"/>
      <c r="C184" s="57"/>
      <c r="D184" s="56"/>
      <c r="E184" s="56"/>
      <c r="F184" s="56"/>
      <c r="G184" s="56"/>
      <c r="H184" s="56"/>
      <c r="I184" s="56"/>
      <c r="J184" s="56"/>
      <c r="K184" s="56"/>
    </row>
    <row r="185" spans="1:11" ht="12.75">
      <c r="A185" s="57">
        <v>4</v>
      </c>
      <c r="B185" s="56" t="s">
        <v>335</v>
      </c>
      <c r="C185" s="57" t="s">
        <v>337</v>
      </c>
      <c r="D185" s="56"/>
      <c r="E185" s="56"/>
      <c r="F185" s="56"/>
      <c r="G185" s="56"/>
      <c r="H185" s="56"/>
      <c r="I185" s="56"/>
      <c r="J185" s="56"/>
      <c r="K185" s="56"/>
    </row>
    <row r="186" spans="1:11" ht="12.75">
      <c r="A186" s="57"/>
      <c r="B186" s="56" t="s">
        <v>332</v>
      </c>
      <c r="C186" s="57"/>
      <c r="D186" s="56"/>
      <c r="E186" s="56"/>
      <c r="F186" s="56"/>
      <c r="G186" s="56"/>
      <c r="H186" s="56"/>
      <c r="I186" s="56"/>
      <c r="J186" s="56"/>
      <c r="K186" s="56"/>
    </row>
    <row r="187" spans="1:11" ht="12.75">
      <c r="A187" s="57"/>
      <c r="B187" s="56"/>
      <c r="C187" s="57"/>
      <c r="D187" s="56"/>
      <c r="E187" s="56"/>
      <c r="F187" s="56"/>
      <c r="G187" s="56"/>
      <c r="H187" s="56"/>
      <c r="I187" s="56"/>
      <c r="J187" s="56"/>
      <c r="K187" s="56"/>
    </row>
    <row r="188" spans="1:11" ht="12.75">
      <c r="A188" s="57">
        <v>5</v>
      </c>
      <c r="B188" s="56" t="s">
        <v>336</v>
      </c>
      <c r="C188" s="57" t="s">
        <v>338</v>
      </c>
      <c r="D188" s="56"/>
      <c r="E188" s="56"/>
      <c r="F188" s="56"/>
      <c r="G188" s="56"/>
      <c r="H188" s="56"/>
      <c r="I188" s="56"/>
      <c r="J188" s="56"/>
      <c r="K188" s="56"/>
    </row>
    <row r="189" spans="1:11" ht="12.75">
      <c r="A189" s="56"/>
      <c r="B189" s="56" t="s">
        <v>332</v>
      </c>
      <c r="C189" s="57"/>
      <c r="D189" s="56"/>
      <c r="E189" s="56"/>
      <c r="F189" s="56"/>
      <c r="G189" s="56"/>
      <c r="H189" s="56"/>
      <c r="I189" s="56"/>
      <c r="J189" s="56"/>
      <c r="K189" s="56"/>
    </row>
    <row r="190" spans="1:11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1:1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1:11" ht="12.75">
      <c r="A192" s="54"/>
      <c r="B192" s="54" t="s">
        <v>339</v>
      </c>
      <c r="C192" s="54"/>
      <c r="D192" s="54"/>
      <c r="E192" s="54"/>
      <c r="F192" s="54"/>
      <c r="G192" s="54"/>
      <c r="H192" s="54"/>
      <c r="I192" s="54"/>
      <c r="J192" s="54" t="s">
        <v>247</v>
      </c>
      <c r="K192" s="54"/>
    </row>
    <row r="210" spans="1:11" ht="12.75">
      <c r="A210" s="54"/>
      <c r="B210" s="54" t="s">
        <v>315</v>
      </c>
      <c r="C210" s="54"/>
      <c r="D210" s="54"/>
      <c r="E210" s="54"/>
      <c r="F210" s="54"/>
      <c r="G210" s="54"/>
      <c r="H210" s="54" t="s">
        <v>316</v>
      </c>
      <c r="I210" s="54"/>
      <c r="J210" s="54"/>
      <c r="K210" s="54"/>
    </row>
    <row r="211" spans="1:11" ht="12.75">
      <c r="A211" s="54"/>
      <c r="B211" s="54"/>
      <c r="C211" s="54"/>
      <c r="D211" s="54" t="s">
        <v>329</v>
      </c>
      <c r="E211" s="54"/>
      <c r="F211" s="54"/>
      <c r="G211" s="54"/>
      <c r="H211" s="54"/>
      <c r="I211" s="54"/>
      <c r="J211" s="54"/>
      <c r="K211" s="54"/>
    </row>
    <row r="212" spans="1:1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8" t="s">
        <v>341</v>
      </c>
      <c r="K212" s="58"/>
    </row>
    <row r="213" spans="1:11" ht="12.75">
      <c r="A213" s="209" t="s">
        <v>0</v>
      </c>
      <c r="B213" s="209" t="s">
        <v>317</v>
      </c>
      <c r="C213" s="209" t="s">
        <v>318</v>
      </c>
      <c r="D213" s="209" t="s">
        <v>319</v>
      </c>
      <c r="E213" s="212" t="s">
        <v>320</v>
      </c>
      <c r="F213" s="213"/>
      <c r="G213" s="213"/>
      <c r="H213" s="213"/>
      <c r="I213" s="214"/>
      <c r="J213" s="209" t="s">
        <v>326</v>
      </c>
      <c r="K213" s="209" t="s">
        <v>327</v>
      </c>
    </row>
    <row r="214" spans="1:11" ht="12.75">
      <c r="A214" s="210"/>
      <c r="B214" s="210"/>
      <c r="C214" s="210"/>
      <c r="D214" s="210"/>
      <c r="E214" s="212" t="s">
        <v>321</v>
      </c>
      <c r="F214" s="214"/>
      <c r="G214" s="212" t="s">
        <v>322</v>
      </c>
      <c r="H214" s="214"/>
      <c r="I214" s="209" t="s">
        <v>325</v>
      </c>
      <c r="J214" s="210"/>
      <c r="K214" s="210"/>
    </row>
    <row r="215" spans="1:11" ht="56.25">
      <c r="A215" s="211"/>
      <c r="B215" s="211"/>
      <c r="C215" s="211"/>
      <c r="D215" s="211"/>
      <c r="E215" s="55" t="s">
        <v>328</v>
      </c>
      <c r="F215" s="55" t="s">
        <v>328</v>
      </c>
      <c r="G215" s="55" t="s">
        <v>323</v>
      </c>
      <c r="H215" s="55" t="s">
        <v>324</v>
      </c>
      <c r="I215" s="211"/>
      <c r="J215" s="211"/>
      <c r="K215" s="211"/>
    </row>
    <row r="216" spans="1:11" ht="12.75">
      <c r="A216" s="53">
        <v>1</v>
      </c>
      <c r="B216" s="53">
        <v>2</v>
      </c>
      <c r="C216" s="53">
        <v>3</v>
      </c>
      <c r="D216" s="53">
        <v>4</v>
      </c>
      <c r="E216" s="53">
        <v>5</v>
      </c>
      <c r="F216" s="53">
        <v>6</v>
      </c>
      <c r="G216" s="53">
        <v>7</v>
      </c>
      <c r="H216" s="53">
        <v>8</v>
      </c>
      <c r="I216" s="53">
        <v>9</v>
      </c>
      <c r="J216" s="53">
        <v>10</v>
      </c>
      <c r="K216" s="53">
        <v>11</v>
      </c>
    </row>
    <row r="217" spans="1:11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1:11" ht="12.75">
      <c r="A218" s="57">
        <v>1</v>
      </c>
      <c r="B218" s="56" t="s">
        <v>330</v>
      </c>
      <c r="C218" s="57" t="s">
        <v>331</v>
      </c>
      <c r="D218" s="56"/>
      <c r="E218" s="56"/>
      <c r="F218" s="56"/>
      <c r="G218" s="56"/>
      <c r="H218" s="56"/>
      <c r="I218" s="56"/>
      <c r="J218" s="56"/>
      <c r="K218" s="56"/>
    </row>
    <row r="219" spans="1:11" ht="12.75">
      <c r="A219" s="57"/>
      <c r="B219" s="56" t="s">
        <v>332</v>
      </c>
      <c r="C219" s="57"/>
      <c r="D219" s="56"/>
      <c r="E219" s="56"/>
      <c r="F219" s="56"/>
      <c r="G219" s="56"/>
      <c r="H219" s="56"/>
      <c r="I219" s="56"/>
      <c r="J219" s="56"/>
      <c r="K219" s="56"/>
    </row>
    <row r="220" spans="1:11" ht="12.75">
      <c r="A220" s="57"/>
      <c r="B220" s="56"/>
      <c r="C220" s="54"/>
      <c r="D220" s="56"/>
      <c r="E220" s="56"/>
      <c r="F220" s="56"/>
      <c r="G220" s="56"/>
      <c r="H220" s="56"/>
      <c r="I220" s="56"/>
      <c r="J220" s="56"/>
      <c r="K220" s="56"/>
    </row>
    <row r="221" spans="1:11" ht="12.75">
      <c r="A221" s="57">
        <v>2</v>
      </c>
      <c r="B221" s="56" t="s">
        <v>333</v>
      </c>
      <c r="C221" s="57" t="s">
        <v>331</v>
      </c>
      <c r="D221" s="56"/>
      <c r="E221" s="56"/>
      <c r="F221" s="56"/>
      <c r="G221" s="56"/>
      <c r="H221" s="56"/>
      <c r="I221" s="56"/>
      <c r="J221" s="56"/>
      <c r="K221" s="56"/>
    </row>
    <row r="222" spans="1:11" ht="12.75">
      <c r="A222" s="57"/>
      <c r="B222" s="56" t="s">
        <v>332</v>
      </c>
      <c r="C222" s="57"/>
      <c r="D222" s="56"/>
      <c r="E222" s="56"/>
      <c r="F222" s="56"/>
      <c r="G222" s="56"/>
      <c r="H222" s="56"/>
      <c r="I222" s="56"/>
      <c r="J222" s="56"/>
      <c r="K222" s="56"/>
    </row>
    <row r="223" spans="1:11" ht="12.75">
      <c r="A223" s="57"/>
      <c r="B223" s="56"/>
      <c r="C223" s="57"/>
      <c r="D223" s="56"/>
      <c r="E223" s="56"/>
      <c r="F223" s="56"/>
      <c r="G223" s="56"/>
      <c r="H223" s="56"/>
      <c r="I223" s="56"/>
      <c r="J223" s="56"/>
      <c r="K223" s="56"/>
    </row>
    <row r="224" spans="1:11" ht="12.75">
      <c r="A224" s="57">
        <v>3</v>
      </c>
      <c r="B224" s="56" t="s">
        <v>334</v>
      </c>
      <c r="C224" s="57" t="s">
        <v>331</v>
      </c>
      <c r="D224" s="56"/>
      <c r="E224" s="56"/>
      <c r="F224" s="56"/>
      <c r="G224" s="56"/>
      <c r="H224" s="56"/>
      <c r="I224" s="56"/>
      <c r="J224" s="56"/>
      <c r="K224" s="56"/>
    </row>
    <row r="225" spans="1:11" ht="12.75">
      <c r="A225" s="57"/>
      <c r="B225" s="56" t="s">
        <v>332</v>
      </c>
      <c r="C225" s="57"/>
      <c r="D225" s="56"/>
      <c r="E225" s="56"/>
      <c r="F225" s="56"/>
      <c r="G225" s="56"/>
      <c r="H225" s="56"/>
      <c r="I225" s="56"/>
      <c r="J225" s="56"/>
      <c r="K225" s="56"/>
    </row>
    <row r="226" spans="1:11" ht="12.75">
      <c r="A226" s="57"/>
      <c r="B226" s="56"/>
      <c r="C226" s="57"/>
      <c r="D226" s="56"/>
      <c r="E226" s="56"/>
      <c r="F226" s="56"/>
      <c r="G226" s="56"/>
      <c r="H226" s="56"/>
      <c r="I226" s="56"/>
      <c r="J226" s="56"/>
      <c r="K226" s="56"/>
    </row>
    <row r="227" spans="1:11" ht="12.75">
      <c r="A227" s="57">
        <v>4</v>
      </c>
      <c r="B227" s="56" t="s">
        <v>335</v>
      </c>
      <c r="C227" s="57" t="s">
        <v>337</v>
      </c>
      <c r="D227" s="56"/>
      <c r="E227" s="56"/>
      <c r="F227" s="56"/>
      <c r="G227" s="56"/>
      <c r="H227" s="56"/>
      <c r="I227" s="56"/>
      <c r="J227" s="56"/>
      <c r="K227" s="56"/>
    </row>
    <row r="228" spans="1:11" ht="12.75">
      <c r="A228" s="57"/>
      <c r="B228" s="56" t="s">
        <v>332</v>
      </c>
      <c r="C228" s="57"/>
      <c r="D228" s="56"/>
      <c r="E228" s="56"/>
      <c r="F228" s="56"/>
      <c r="G228" s="56"/>
      <c r="H228" s="56"/>
      <c r="I228" s="56"/>
      <c r="J228" s="56"/>
      <c r="K228" s="56"/>
    </row>
    <row r="229" spans="1:11" ht="12.75">
      <c r="A229" s="57"/>
      <c r="B229" s="56"/>
      <c r="C229" s="57"/>
      <c r="D229" s="56"/>
      <c r="E229" s="56"/>
      <c r="F229" s="56"/>
      <c r="G229" s="56"/>
      <c r="H229" s="56"/>
      <c r="I229" s="56"/>
      <c r="J229" s="56"/>
      <c r="K229" s="56"/>
    </row>
    <row r="230" spans="1:11" ht="12.75">
      <c r="A230" s="57">
        <v>5</v>
      </c>
      <c r="B230" s="56" t="s">
        <v>336</v>
      </c>
      <c r="C230" s="57" t="s">
        <v>338</v>
      </c>
      <c r="D230" s="56"/>
      <c r="E230" s="56"/>
      <c r="F230" s="56"/>
      <c r="G230" s="56"/>
      <c r="H230" s="56"/>
      <c r="I230" s="56"/>
      <c r="J230" s="56"/>
      <c r="K230" s="56"/>
    </row>
    <row r="231" spans="1:11" ht="12.75">
      <c r="A231" s="56"/>
      <c r="B231" s="56" t="s">
        <v>332</v>
      </c>
      <c r="C231" s="57"/>
      <c r="D231" s="56"/>
      <c r="E231" s="56"/>
      <c r="F231" s="56"/>
      <c r="G231" s="56"/>
      <c r="H231" s="56"/>
      <c r="I231" s="56"/>
      <c r="J231" s="56"/>
      <c r="K231" s="56"/>
    </row>
    <row r="232" spans="1:11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1:1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 ht="12.75">
      <c r="A234" s="54"/>
      <c r="B234" s="54" t="s">
        <v>339</v>
      </c>
      <c r="C234" s="54"/>
      <c r="D234" s="54"/>
      <c r="E234" s="54"/>
      <c r="F234" s="54"/>
      <c r="G234" s="54"/>
      <c r="H234" s="54"/>
      <c r="I234" s="54"/>
      <c r="J234" s="54" t="s">
        <v>247</v>
      </c>
      <c r="K234" s="54"/>
    </row>
    <row r="252" spans="1:11" ht="12.75">
      <c r="A252" s="54"/>
      <c r="B252" s="54" t="s">
        <v>315</v>
      </c>
      <c r="C252" s="54"/>
      <c r="D252" s="54"/>
      <c r="E252" s="54"/>
      <c r="F252" s="54"/>
      <c r="G252" s="54"/>
      <c r="H252" s="54" t="s">
        <v>316</v>
      </c>
      <c r="I252" s="54"/>
      <c r="J252" s="54"/>
      <c r="K252" s="54"/>
    </row>
    <row r="253" spans="1:11" ht="12.75">
      <c r="A253" s="54"/>
      <c r="B253" s="54"/>
      <c r="C253" s="54"/>
      <c r="D253" s="54" t="s">
        <v>329</v>
      </c>
      <c r="E253" s="54"/>
      <c r="F253" s="54"/>
      <c r="G253" s="54"/>
      <c r="H253" s="54"/>
      <c r="I253" s="54"/>
      <c r="J253" s="54"/>
      <c r="K253" s="54"/>
    </row>
    <row r="254" spans="1:1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8" t="s">
        <v>341</v>
      </c>
      <c r="K254" s="58"/>
    </row>
    <row r="255" spans="1:11" ht="12.75">
      <c r="A255" s="209" t="s">
        <v>0</v>
      </c>
      <c r="B255" s="209" t="s">
        <v>317</v>
      </c>
      <c r="C255" s="209" t="s">
        <v>318</v>
      </c>
      <c r="D255" s="209" t="s">
        <v>319</v>
      </c>
      <c r="E255" s="212" t="s">
        <v>320</v>
      </c>
      <c r="F255" s="213"/>
      <c r="G255" s="213"/>
      <c r="H255" s="213"/>
      <c r="I255" s="214"/>
      <c r="J255" s="209" t="s">
        <v>326</v>
      </c>
      <c r="K255" s="209" t="s">
        <v>327</v>
      </c>
    </row>
    <row r="256" spans="1:11" ht="12.75">
      <c r="A256" s="210"/>
      <c r="B256" s="210"/>
      <c r="C256" s="210"/>
      <c r="D256" s="210"/>
      <c r="E256" s="212" t="s">
        <v>321</v>
      </c>
      <c r="F256" s="214"/>
      <c r="G256" s="212" t="s">
        <v>322</v>
      </c>
      <c r="H256" s="214"/>
      <c r="I256" s="209" t="s">
        <v>325</v>
      </c>
      <c r="J256" s="210"/>
      <c r="K256" s="210"/>
    </row>
    <row r="257" spans="1:11" ht="56.25">
      <c r="A257" s="211"/>
      <c r="B257" s="211"/>
      <c r="C257" s="211"/>
      <c r="D257" s="211"/>
      <c r="E257" s="55" t="s">
        <v>328</v>
      </c>
      <c r="F257" s="55" t="s">
        <v>328</v>
      </c>
      <c r="G257" s="55" t="s">
        <v>323</v>
      </c>
      <c r="H257" s="55" t="s">
        <v>324</v>
      </c>
      <c r="I257" s="211"/>
      <c r="J257" s="211"/>
      <c r="K257" s="211"/>
    </row>
    <row r="258" spans="1:11" ht="12.75">
      <c r="A258" s="53">
        <v>1</v>
      </c>
      <c r="B258" s="53">
        <v>2</v>
      </c>
      <c r="C258" s="53">
        <v>3</v>
      </c>
      <c r="D258" s="53">
        <v>4</v>
      </c>
      <c r="E258" s="53">
        <v>5</v>
      </c>
      <c r="F258" s="53">
        <v>6</v>
      </c>
      <c r="G258" s="53">
        <v>7</v>
      </c>
      <c r="H258" s="53">
        <v>8</v>
      </c>
      <c r="I258" s="53">
        <v>9</v>
      </c>
      <c r="J258" s="53">
        <v>10</v>
      </c>
      <c r="K258" s="53">
        <v>11</v>
      </c>
    </row>
    <row r="259" spans="1:11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1:11" ht="12.75">
      <c r="A260" s="57">
        <v>1</v>
      </c>
      <c r="B260" s="56" t="s">
        <v>330</v>
      </c>
      <c r="C260" s="57" t="s">
        <v>331</v>
      </c>
      <c r="D260" s="56"/>
      <c r="E260" s="56"/>
      <c r="F260" s="56"/>
      <c r="G260" s="56"/>
      <c r="H260" s="56"/>
      <c r="I260" s="56"/>
      <c r="J260" s="56"/>
      <c r="K260" s="56"/>
    </row>
    <row r="261" spans="1:11" ht="12.75">
      <c r="A261" s="57"/>
      <c r="B261" s="56" t="s">
        <v>332</v>
      </c>
      <c r="C261" s="57"/>
      <c r="D261" s="56"/>
      <c r="E261" s="56"/>
      <c r="F261" s="56"/>
      <c r="G261" s="56"/>
      <c r="H261" s="56"/>
      <c r="I261" s="56"/>
      <c r="J261" s="56"/>
      <c r="K261" s="56"/>
    </row>
    <row r="262" spans="1:11" ht="12.75">
      <c r="A262" s="57"/>
      <c r="B262" s="56"/>
      <c r="C262" s="54"/>
      <c r="D262" s="56"/>
      <c r="E262" s="56"/>
      <c r="F262" s="56"/>
      <c r="G262" s="56"/>
      <c r="H262" s="56"/>
      <c r="I262" s="56"/>
      <c r="J262" s="56"/>
      <c r="K262" s="56"/>
    </row>
    <row r="263" spans="1:11" ht="12.75">
      <c r="A263" s="57">
        <v>2</v>
      </c>
      <c r="B263" s="56" t="s">
        <v>333</v>
      </c>
      <c r="C263" s="57" t="s">
        <v>331</v>
      </c>
      <c r="D263" s="56"/>
      <c r="E263" s="56"/>
      <c r="F263" s="56"/>
      <c r="G263" s="56"/>
      <c r="H263" s="56"/>
      <c r="I263" s="56"/>
      <c r="J263" s="56"/>
      <c r="K263" s="56"/>
    </row>
    <row r="264" spans="1:11" ht="12.75">
      <c r="A264" s="57"/>
      <c r="B264" s="56" t="s">
        <v>332</v>
      </c>
      <c r="C264" s="57"/>
      <c r="D264" s="56"/>
      <c r="E264" s="56"/>
      <c r="F264" s="56"/>
      <c r="G264" s="56"/>
      <c r="H264" s="56"/>
      <c r="I264" s="56"/>
      <c r="J264" s="56"/>
      <c r="K264" s="56"/>
    </row>
    <row r="265" spans="1:11" ht="12.75">
      <c r="A265" s="57"/>
      <c r="B265" s="56"/>
      <c r="C265" s="57"/>
      <c r="D265" s="56"/>
      <c r="E265" s="56"/>
      <c r="F265" s="56"/>
      <c r="G265" s="56"/>
      <c r="H265" s="56"/>
      <c r="I265" s="56"/>
      <c r="J265" s="56"/>
      <c r="K265" s="56"/>
    </row>
    <row r="266" spans="1:11" ht="12.75">
      <c r="A266" s="57">
        <v>3</v>
      </c>
      <c r="B266" s="56" t="s">
        <v>334</v>
      </c>
      <c r="C266" s="57" t="s">
        <v>331</v>
      </c>
      <c r="D266" s="56"/>
      <c r="E266" s="56"/>
      <c r="F266" s="56"/>
      <c r="G266" s="56"/>
      <c r="H266" s="56"/>
      <c r="I266" s="56"/>
      <c r="J266" s="56"/>
      <c r="K266" s="56"/>
    </row>
    <row r="267" spans="1:11" ht="12.75">
      <c r="A267" s="57"/>
      <c r="B267" s="56" t="s">
        <v>332</v>
      </c>
      <c r="C267" s="57"/>
      <c r="D267" s="56"/>
      <c r="E267" s="56"/>
      <c r="F267" s="56"/>
      <c r="G267" s="56"/>
      <c r="H267" s="56"/>
      <c r="I267" s="56"/>
      <c r="J267" s="56"/>
      <c r="K267" s="56"/>
    </row>
    <row r="268" spans="1:11" ht="12.75">
      <c r="A268" s="57"/>
      <c r="B268" s="56"/>
      <c r="C268" s="57"/>
      <c r="D268" s="56"/>
      <c r="E268" s="56"/>
      <c r="F268" s="56"/>
      <c r="G268" s="56"/>
      <c r="H268" s="56"/>
      <c r="I268" s="56"/>
      <c r="J268" s="56"/>
      <c r="K268" s="56"/>
    </row>
    <row r="269" spans="1:11" ht="12.75">
      <c r="A269" s="57">
        <v>4</v>
      </c>
      <c r="B269" s="56" t="s">
        <v>335</v>
      </c>
      <c r="C269" s="57" t="s">
        <v>337</v>
      </c>
      <c r="D269" s="56"/>
      <c r="E269" s="56"/>
      <c r="F269" s="56"/>
      <c r="G269" s="56"/>
      <c r="H269" s="56"/>
      <c r="I269" s="56"/>
      <c r="J269" s="56"/>
      <c r="K269" s="56"/>
    </row>
    <row r="270" spans="1:11" ht="12.75">
      <c r="A270" s="57"/>
      <c r="B270" s="56" t="s">
        <v>332</v>
      </c>
      <c r="C270" s="57"/>
      <c r="D270" s="56"/>
      <c r="E270" s="56"/>
      <c r="F270" s="56"/>
      <c r="G270" s="56"/>
      <c r="H270" s="56"/>
      <c r="I270" s="56"/>
      <c r="J270" s="56"/>
      <c r="K270" s="56"/>
    </row>
    <row r="271" spans="1:11" ht="12.75">
      <c r="A271" s="57"/>
      <c r="B271" s="56"/>
      <c r="C271" s="57"/>
      <c r="D271" s="56"/>
      <c r="E271" s="56"/>
      <c r="F271" s="56"/>
      <c r="G271" s="56"/>
      <c r="H271" s="56"/>
      <c r="I271" s="56"/>
      <c r="J271" s="56"/>
      <c r="K271" s="56"/>
    </row>
    <row r="272" spans="1:11" ht="12.75">
      <c r="A272" s="57">
        <v>5</v>
      </c>
      <c r="B272" s="56" t="s">
        <v>336</v>
      </c>
      <c r="C272" s="57" t="s">
        <v>338</v>
      </c>
      <c r="D272" s="56"/>
      <c r="E272" s="56"/>
      <c r="F272" s="56"/>
      <c r="G272" s="56"/>
      <c r="H272" s="56"/>
      <c r="I272" s="56"/>
      <c r="J272" s="56"/>
      <c r="K272" s="56"/>
    </row>
    <row r="273" spans="1:11" ht="12.75">
      <c r="A273" s="56"/>
      <c r="B273" s="56" t="s">
        <v>332</v>
      </c>
      <c r="C273" s="57"/>
      <c r="D273" s="56"/>
      <c r="E273" s="56"/>
      <c r="F273" s="56"/>
      <c r="G273" s="56"/>
      <c r="H273" s="56"/>
      <c r="I273" s="56"/>
      <c r="J273" s="56"/>
      <c r="K273" s="56"/>
    </row>
    <row r="274" spans="1:11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1:11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</row>
    <row r="276" spans="1:11" ht="12.75">
      <c r="A276" s="54"/>
      <c r="B276" s="54" t="s">
        <v>339</v>
      </c>
      <c r="C276" s="54"/>
      <c r="D276" s="54"/>
      <c r="E276" s="54"/>
      <c r="F276" s="54"/>
      <c r="G276" s="54"/>
      <c r="H276" s="54"/>
      <c r="I276" s="54"/>
      <c r="J276" s="54" t="s">
        <v>247</v>
      </c>
      <c r="K276" s="54"/>
    </row>
    <row r="294" spans="1:11" ht="12.75">
      <c r="A294" s="54"/>
      <c r="B294" s="54" t="s">
        <v>315</v>
      </c>
      <c r="C294" s="54"/>
      <c r="D294" s="54"/>
      <c r="E294" s="54"/>
      <c r="F294" s="54"/>
      <c r="G294" s="54"/>
      <c r="H294" s="54" t="s">
        <v>316</v>
      </c>
      <c r="I294" s="54"/>
      <c r="J294" s="54"/>
      <c r="K294" s="54"/>
    </row>
    <row r="295" spans="1:11" ht="12.75">
      <c r="A295" s="54"/>
      <c r="B295" s="54"/>
      <c r="C295" s="54"/>
      <c r="D295" s="54" t="s">
        <v>329</v>
      </c>
      <c r="E295" s="54"/>
      <c r="F295" s="54"/>
      <c r="G295" s="54"/>
      <c r="H295" s="54"/>
      <c r="I295" s="54"/>
      <c r="J295" s="54"/>
      <c r="K295" s="54"/>
    </row>
    <row r="296" spans="1:11" ht="12.75">
      <c r="A296" s="54"/>
      <c r="B296" s="54"/>
      <c r="C296" s="54"/>
      <c r="D296" s="54"/>
      <c r="E296" s="54"/>
      <c r="F296" s="54"/>
      <c r="G296" s="54"/>
      <c r="H296" s="54"/>
      <c r="I296" s="54"/>
      <c r="J296" s="58" t="s">
        <v>341</v>
      </c>
      <c r="K296" s="58"/>
    </row>
    <row r="297" spans="1:11" ht="12.75">
      <c r="A297" s="209" t="s">
        <v>0</v>
      </c>
      <c r="B297" s="209" t="s">
        <v>317</v>
      </c>
      <c r="C297" s="209" t="s">
        <v>318</v>
      </c>
      <c r="D297" s="209" t="s">
        <v>319</v>
      </c>
      <c r="E297" s="212" t="s">
        <v>320</v>
      </c>
      <c r="F297" s="213"/>
      <c r="G297" s="213"/>
      <c r="H297" s="213"/>
      <c r="I297" s="214"/>
      <c r="J297" s="209" t="s">
        <v>326</v>
      </c>
      <c r="K297" s="209" t="s">
        <v>327</v>
      </c>
    </row>
    <row r="298" spans="1:11" ht="12.75">
      <c r="A298" s="210"/>
      <c r="B298" s="210"/>
      <c r="C298" s="210"/>
      <c r="D298" s="210"/>
      <c r="E298" s="212" t="s">
        <v>321</v>
      </c>
      <c r="F298" s="214"/>
      <c r="G298" s="212" t="s">
        <v>322</v>
      </c>
      <c r="H298" s="214"/>
      <c r="I298" s="209" t="s">
        <v>325</v>
      </c>
      <c r="J298" s="210"/>
      <c r="K298" s="210"/>
    </row>
    <row r="299" spans="1:11" ht="56.25">
      <c r="A299" s="211"/>
      <c r="B299" s="211"/>
      <c r="C299" s="211"/>
      <c r="D299" s="211"/>
      <c r="E299" s="55" t="s">
        <v>328</v>
      </c>
      <c r="F299" s="55" t="s">
        <v>328</v>
      </c>
      <c r="G299" s="55" t="s">
        <v>323</v>
      </c>
      <c r="H299" s="55" t="s">
        <v>324</v>
      </c>
      <c r="I299" s="211"/>
      <c r="J299" s="211"/>
      <c r="K299" s="211"/>
    </row>
    <row r="300" spans="1:11" ht="12.75">
      <c r="A300" s="53">
        <v>1</v>
      </c>
      <c r="B300" s="53">
        <v>2</v>
      </c>
      <c r="C300" s="53">
        <v>3</v>
      </c>
      <c r="D300" s="53">
        <v>4</v>
      </c>
      <c r="E300" s="53">
        <v>5</v>
      </c>
      <c r="F300" s="53">
        <v>6</v>
      </c>
      <c r="G300" s="53">
        <v>7</v>
      </c>
      <c r="H300" s="53">
        <v>8</v>
      </c>
      <c r="I300" s="53">
        <v>9</v>
      </c>
      <c r="J300" s="53">
        <v>10</v>
      </c>
      <c r="K300" s="53">
        <v>11</v>
      </c>
    </row>
    <row r="301" spans="1:11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1:11" ht="12.75">
      <c r="A302" s="57">
        <v>1</v>
      </c>
      <c r="B302" s="56" t="s">
        <v>330</v>
      </c>
      <c r="C302" s="57" t="s">
        <v>331</v>
      </c>
      <c r="D302" s="56"/>
      <c r="E302" s="56"/>
      <c r="F302" s="56"/>
      <c r="G302" s="56"/>
      <c r="H302" s="56"/>
      <c r="I302" s="56"/>
      <c r="J302" s="56"/>
      <c r="K302" s="56"/>
    </row>
    <row r="303" spans="1:11" ht="12.75">
      <c r="A303" s="57"/>
      <c r="B303" s="56" t="s">
        <v>332</v>
      </c>
      <c r="C303" s="57"/>
      <c r="D303" s="56"/>
      <c r="E303" s="56"/>
      <c r="F303" s="56"/>
      <c r="G303" s="56"/>
      <c r="H303" s="56"/>
      <c r="I303" s="56"/>
      <c r="J303" s="56"/>
      <c r="K303" s="56"/>
    </row>
    <row r="304" spans="1:11" ht="12.75">
      <c r="A304" s="57"/>
      <c r="B304" s="56"/>
      <c r="C304" s="54"/>
      <c r="D304" s="56"/>
      <c r="E304" s="56"/>
      <c r="F304" s="56"/>
      <c r="G304" s="56"/>
      <c r="H304" s="56"/>
      <c r="I304" s="56"/>
      <c r="J304" s="56"/>
      <c r="K304" s="56"/>
    </row>
    <row r="305" spans="1:11" ht="12.75">
      <c r="A305" s="57">
        <v>2</v>
      </c>
      <c r="B305" s="56" t="s">
        <v>333</v>
      </c>
      <c r="C305" s="57" t="s">
        <v>331</v>
      </c>
      <c r="D305" s="56"/>
      <c r="E305" s="56"/>
      <c r="F305" s="56"/>
      <c r="G305" s="56"/>
      <c r="H305" s="56"/>
      <c r="I305" s="56"/>
      <c r="J305" s="56"/>
      <c r="K305" s="56"/>
    </row>
    <row r="306" spans="1:11" ht="12.75">
      <c r="A306" s="57"/>
      <c r="B306" s="56" t="s">
        <v>332</v>
      </c>
      <c r="C306" s="57"/>
      <c r="D306" s="56"/>
      <c r="E306" s="56"/>
      <c r="F306" s="56"/>
      <c r="G306" s="56"/>
      <c r="H306" s="56"/>
      <c r="I306" s="56"/>
      <c r="J306" s="56"/>
      <c r="K306" s="56"/>
    </row>
    <row r="307" spans="1:11" ht="12.75">
      <c r="A307" s="57"/>
      <c r="B307" s="56"/>
      <c r="C307" s="57"/>
      <c r="D307" s="56"/>
      <c r="E307" s="56"/>
      <c r="F307" s="56"/>
      <c r="G307" s="56"/>
      <c r="H307" s="56"/>
      <c r="I307" s="56"/>
      <c r="J307" s="56"/>
      <c r="K307" s="56"/>
    </row>
    <row r="308" spans="1:11" ht="12.75">
      <c r="A308" s="57">
        <v>3</v>
      </c>
      <c r="B308" s="56" t="s">
        <v>334</v>
      </c>
      <c r="C308" s="57" t="s">
        <v>331</v>
      </c>
      <c r="D308" s="56"/>
      <c r="E308" s="56"/>
      <c r="F308" s="56"/>
      <c r="G308" s="56"/>
      <c r="H308" s="56"/>
      <c r="I308" s="56"/>
      <c r="J308" s="56"/>
      <c r="K308" s="56"/>
    </row>
    <row r="309" spans="1:11" ht="12.75">
      <c r="A309" s="57"/>
      <c r="B309" s="56" t="s">
        <v>332</v>
      </c>
      <c r="C309" s="57"/>
      <c r="D309" s="56"/>
      <c r="E309" s="56"/>
      <c r="F309" s="56"/>
      <c r="G309" s="56"/>
      <c r="H309" s="56"/>
      <c r="I309" s="56"/>
      <c r="J309" s="56"/>
      <c r="K309" s="56"/>
    </row>
    <row r="310" spans="1:11" ht="12.75">
      <c r="A310" s="57"/>
      <c r="B310" s="56"/>
      <c r="C310" s="57"/>
      <c r="D310" s="56"/>
      <c r="E310" s="56"/>
      <c r="F310" s="56"/>
      <c r="G310" s="56"/>
      <c r="H310" s="56"/>
      <c r="I310" s="56"/>
      <c r="J310" s="56"/>
      <c r="K310" s="56"/>
    </row>
    <row r="311" spans="1:11" ht="12.75">
      <c r="A311" s="57">
        <v>4</v>
      </c>
      <c r="B311" s="56" t="s">
        <v>335</v>
      </c>
      <c r="C311" s="57" t="s">
        <v>337</v>
      </c>
      <c r="D311" s="56"/>
      <c r="E311" s="56"/>
      <c r="F311" s="56"/>
      <c r="G311" s="56"/>
      <c r="H311" s="56"/>
      <c r="I311" s="56"/>
      <c r="J311" s="56"/>
      <c r="K311" s="56"/>
    </row>
    <row r="312" spans="1:11" ht="12.75">
      <c r="A312" s="57"/>
      <c r="B312" s="56" t="s">
        <v>332</v>
      </c>
      <c r="C312" s="57"/>
      <c r="D312" s="56"/>
      <c r="E312" s="56"/>
      <c r="F312" s="56"/>
      <c r="G312" s="56"/>
      <c r="H312" s="56"/>
      <c r="I312" s="56"/>
      <c r="J312" s="56"/>
      <c r="K312" s="56"/>
    </row>
    <row r="313" spans="1:11" ht="12.75">
      <c r="A313" s="57"/>
      <c r="B313" s="56"/>
      <c r="C313" s="57"/>
      <c r="D313" s="56"/>
      <c r="E313" s="56"/>
      <c r="F313" s="56"/>
      <c r="G313" s="56"/>
      <c r="H313" s="56"/>
      <c r="I313" s="56"/>
      <c r="J313" s="56"/>
      <c r="K313" s="56"/>
    </row>
    <row r="314" spans="1:11" ht="12.75">
      <c r="A314" s="57">
        <v>5</v>
      </c>
      <c r="B314" s="56" t="s">
        <v>336</v>
      </c>
      <c r="C314" s="57" t="s">
        <v>338</v>
      </c>
      <c r="D314" s="56"/>
      <c r="E314" s="56"/>
      <c r="F314" s="56"/>
      <c r="G314" s="56"/>
      <c r="H314" s="56"/>
      <c r="I314" s="56"/>
      <c r="J314" s="56"/>
      <c r="K314" s="56"/>
    </row>
    <row r="315" spans="1:11" ht="12.75">
      <c r="A315" s="56"/>
      <c r="B315" s="56" t="s">
        <v>332</v>
      </c>
      <c r="C315" s="57"/>
      <c r="D315" s="56"/>
      <c r="E315" s="56"/>
      <c r="F315" s="56"/>
      <c r="G315" s="56"/>
      <c r="H315" s="56"/>
      <c r="I315" s="56"/>
      <c r="J315" s="56"/>
      <c r="K315" s="56"/>
    </row>
    <row r="316" spans="1:11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1:11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1:11" ht="12.75">
      <c r="A318" s="54"/>
      <c r="B318" s="54" t="s">
        <v>339</v>
      </c>
      <c r="C318" s="54"/>
      <c r="D318" s="54"/>
      <c r="E318" s="54"/>
      <c r="F318" s="54"/>
      <c r="G318" s="54"/>
      <c r="H318" s="54"/>
      <c r="I318" s="54"/>
      <c r="J318" s="54" t="s">
        <v>247</v>
      </c>
      <c r="K318" s="54"/>
    </row>
    <row r="336" spans="1:11" ht="12.75">
      <c r="A336" s="54"/>
      <c r="B336" s="54" t="s">
        <v>315</v>
      </c>
      <c r="C336" s="54"/>
      <c r="D336" s="54"/>
      <c r="E336" s="54"/>
      <c r="F336" s="54"/>
      <c r="G336" s="54"/>
      <c r="H336" s="54" t="s">
        <v>316</v>
      </c>
      <c r="I336" s="54"/>
      <c r="J336" s="54"/>
      <c r="K336" s="54"/>
    </row>
    <row r="337" spans="1:11" ht="12.75">
      <c r="A337" s="54"/>
      <c r="B337" s="54"/>
      <c r="C337" s="54"/>
      <c r="D337" s="54" t="s">
        <v>329</v>
      </c>
      <c r="E337" s="54"/>
      <c r="F337" s="54"/>
      <c r="G337" s="54"/>
      <c r="H337" s="54"/>
      <c r="I337" s="54"/>
      <c r="J337" s="54"/>
      <c r="K337" s="54"/>
    </row>
    <row r="338" spans="1:11" ht="12.75">
      <c r="A338" s="54"/>
      <c r="B338" s="54"/>
      <c r="C338" s="54"/>
      <c r="D338" s="54"/>
      <c r="E338" s="54"/>
      <c r="F338" s="54"/>
      <c r="G338" s="54"/>
      <c r="H338" s="54"/>
      <c r="I338" s="54"/>
      <c r="J338" s="58" t="s">
        <v>341</v>
      </c>
      <c r="K338" s="58"/>
    </row>
    <row r="339" spans="1:11" ht="12.75">
      <c r="A339" s="209" t="s">
        <v>0</v>
      </c>
      <c r="B339" s="209" t="s">
        <v>317</v>
      </c>
      <c r="C339" s="209" t="s">
        <v>318</v>
      </c>
      <c r="D339" s="209" t="s">
        <v>319</v>
      </c>
      <c r="E339" s="212" t="s">
        <v>320</v>
      </c>
      <c r="F339" s="213"/>
      <c r="G339" s="213"/>
      <c r="H339" s="213"/>
      <c r="I339" s="214"/>
      <c r="J339" s="209" t="s">
        <v>326</v>
      </c>
      <c r="K339" s="209" t="s">
        <v>327</v>
      </c>
    </row>
    <row r="340" spans="1:11" ht="12.75">
      <c r="A340" s="210"/>
      <c r="B340" s="210"/>
      <c r="C340" s="210"/>
      <c r="D340" s="210"/>
      <c r="E340" s="212" t="s">
        <v>321</v>
      </c>
      <c r="F340" s="214"/>
      <c r="G340" s="212" t="s">
        <v>322</v>
      </c>
      <c r="H340" s="214"/>
      <c r="I340" s="209" t="s">
        <v>325</v>
      </c>
      <c r="J340" s="210"/>
      <c r="K340" s="210"/>
    </row>
    <row r="341" spans="1:11" ht="56.25">
      <c r="A341" s="211"/>
      <c r="B341" s="211"/>
      <c r="C341" s="211"/>
      <c r="D341" s="211"/>
      <c r="E341" s="55" t="s">
        <v>328</v>
      </c>
      <c r="F341" s="55" t="s">
        <v>328</v>
      </c>
      <c r="G341" s="55" t="s">
        <v>323</v>
      </c>
      <c r="H341" s="55" t="s">
        <v>324</v>
      </c>
      <c r="I341" s="211"/>
      <c r="J341" s="211"/>
      <c r="K341" s="211"/>
    </row>
    <row r="342" spans="1:11" ht="12.75">
      <c r="A342" s="53">
        <v>1</v>
      </c>
      <c r="B342" s="53">
        <v>2</v>
      </c>
      <c r="C342" s="53">
        <v>3</v>
      </c>
      <c r="D342" s="53">
        <v>4</v>
      </c>
      <c r="E342" s="53">
        <v>5</v>
      </c>
      <c r="F342" s="53">
        <v>6</v>
      </c>
      <c r="G342" s="53">
        <v>7</v>
      </c>
      <c r="H342" s="53">
        <v>8</v>
      </c>
      <c r="I342" s="53">
        <v>9</v>
      </c>
      <c r="J342" s="53">
        <v>10</v>
      </c>
      <c r="K342" s="53">
        <v>11</v>
      </c>
    </row>
    <row r="343" spans="1:11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1:11" ht="12.75">
      <c r="A344" s="57">
        <v>1</v>
      </c>
      <c r="B344" s="56" t="s">
        <v>330</v>
      </c>
      <c r="C344" s="57" t="s">
        <v>331</v>
      </c>
      <c r="D344" s="56"/>
      <c r="E344" s="56"/>
      <c r="F344" s="56"/>
      <c r="G344" s="56"/>
      <c r="H344" s="56"/>
      <c r="I344" s="56"/>
      <c r="J344" s="56"/>
      <c r="K344" s="56"/>
    </row>
    <row r="345" spans="1:11" ht="12.75">
      <c r="A345" s="57"/>
      <c r="B345" s="56" t="s">
        <v>332</v>
      </c>
      <c r="C345" s="57"/>
      <c r="D345" s="56"/>
      <c r="E345" s="56"/>
      <c r="F345" s="56"/>
      <c r="G345" s="56"/>
      <c r="H345" s="56"/>
      <c r="I345" s="56"/>
      <c r="J345" s="56"/>
      <c r="K345" s="56"/>
    </row>
    <row r="346" spans="1:11" ht="12.75">
      <c r="A346" s="57"/>
      <c r="B346" s="56"/>
      <c r="C346" s="54"/>
      <c r="D346" s="56"/>
      <c r="E346" s="56"/>
      <c r="F346" s="56"/>
      <c r="G346" s="56"/>
      <c r="H346" s="56"/>
      <c r="I346" s="56"/>
      <c r="J346" s="56"/>
      <c r="K346" s="56"/>
    </row>
    <row r="347" spans="1:11" ht="12.75">
      <c r="A347" s="57">
        <v>2</v>
      </c>
      <c r="B347" s="56" t="s">
        <v>333</v>
      </c>
      <c r="C347" s="57" t="s">
        <v>331</v>
      </c>
      <c r="D347" s="56"/>
      <c r="E347" s="56"/>
      <c r="F347" s="56"/>
      <c r="G347" s="56"/>
      <c r="H347" s="56"/>
      <c r="I347" s="56"/>
      <c r="J347" s="56"/>
      <c r="K347" s="56"/>
    </row>
    <row r="348" spans="1:11" ht="12.75">
      <c r="A348" s="57"/>
      <c r="B348" s="56" t="s">
        <v>332</v>
      </c>
      <c r="C348" s="57"/>
      <c r="D348" s="56"/>
      <c r="E348" s="56"/>
      <c r="F348" s="56"/>
      <c r="G348" s="56"/>
      <c r="H348" s="56"/>
      <c r="I348" s="56"/>
      <c r="J348" s="56"/>
      <c r="K348" s="56"/>
    </row>
    <row r="349" spans="1:11" ht="12.75">
      <c r="A349" s="57"/>
      <c r="B349" s="56"/>
      <c r="C349" s="57"/>
      <c r="D349" s="56"/>
      <c r="E349" s="56"/>
      <c r="F349" s="56"/>
      <c r="G349" s="56"/>
      <c r="H349" s="56"/>
      <c r="I349" s="56"/>
      <c r="J349" s="56"/>
      <c r="K349" s="56"/>
    </row>
    <row r="350" spans="1:11" ht="12.75">
      <c r="A350" s="57">
        <v>3</v>
      </c>
      <c r="B350" s="56" t="s">
        <v>334</v>
      </c>
      <c r="C350" s="57" t="s">
        <v>331</v>
      </c>
      <c r="D350" s="56"/>
      <c r="E350" s="56"/>
      <c r="F350" s="56"/>
      <c r="G350" s="56"/>
      <c r="H350" s="56"/>
      <c r="I350" s="56"/>
      <c r="J350" s="56"/>
      <c r="K350" s="56"/>
    </row>
    <row r="351" spans="1:11" ht="12.75">
      <c r="A351" s="57"/>
      <c r="B351" s="56" t="s">
        <v>332</v>
      </c>
      <c r="C351" s="57"/>
      <c r="D351" s="56"/>
      <c r="E351" s="56"/>
      <c r="F351" s="56"/>
      <c r="G351" s="56"/>
      <c r="H351" s="56"/>
      <c r="I351" s="56"/>
      <c r="J351" s="56"/>
      <c r="K351" s="56"/>
    </row>
    <row r="352" spans="1:11" ht="12.75">
      <c r="A352" s="57"/>
      <c r="B352" s="56"/>
      <c r="C352" s="57"/>
      <c r="D352" s="56"/>
      <c r="E352" s="56"/>
      <c r="F352" s="56"/>
      <c r="G352" s="56"/>
      <c r="H352" s="56"/>
      <c r="I352" s="56"/>
      <c r="J352" s="56"/>
      <c r="K352" s="56"/>
    </row>
    <row r="353" spans="1:11" ht="12.75">
      <c r="A353" s="57">
        <v>4</v>
      </c>
      <c r="B353" s="56" t="s">
        <v>335</v>
      </c>
      <c r="C353" s="57" t="s">
        <v>337</v>
      </c>
      <c r="D353" s="56"/>
      <c r="E353" s="56"/>
      <c r="F353" s="56"/>
      <c r="G353" s="56"/>
      <c r="H353" s="56"/>
      <c r="I353" s="56"/>
      <c r="J353" s="56"/>
      <c r="K353" s="56"/>
    </row>
    <row r="354" spans="1:11" ht="12.75">
      <c r="A354" s="57"/>
      <c r="B354" s="56" t="s">
        <v>332</v>
      </c>
      <c r="C354" s="57"/>
      <c r="D354" s="56"/>
      <c r="E354" s="56"/>
      <c r="F354" s="56"/>
      <c r="G354" s="56"/>
      <c r="H354" s="56"/>
      <c r="I354" s="56"/>
      <c r="J354" s="56"/>
      <c r="K354" s="56"/>
    </row>
    <row r="355" spans="1:11" ht="12.75">
      <c r="A355" s="57"/>
      <c r="B355" s="56"/>
      <c r="C355" s="57"/>
      <c r="D355" s="56"/>
      <c r="E355" s="56"/>
      <c r="F355" s="56"/>
      <c r="G355" s="56"/>
      <c r="H355" s="56"/>
      <c r="I355" s="56"/>
      <c r="J355" s="56"/>
      <c r="K355" s="56"/>
    </row>
    <row r="356" spans="1:11" ht="12.75">
      <c r="A356" s="57">
        <v>5</v>
      </c>
      <c r="B356" s="56" t="s">
        <v>336</v>
      </c>
      <c r="C356" s="57" t="s">
        <v>338</v>
      </c>
      <c r="D356" s="56"/>
      <c r="E356" s="56"/>
      <c r="F356" s="56"/>
      <c r="G356" s="56"/>
      <c r="H356" s="56"/>
      <c r="I356" s="56"/>
      <c r="J356" s="56"/>
      <c r="K356" s="56"/>
    </row>
    <row r="357" spans="1:11" ht="12.75">
      <c r="A357" s="56"/>
      <c r="B357" s="56" t="s">
        <v>332</v>
      </c>
      <c r="C357" s="57"/>
      <c r="D357" s="56"/>
      <c r="E357" s="56"/>
      <c r="F357" s="56"/>
      <c r="G357" s="56"/>
      <c r="H357" s="56"/>
      <c r="I357" s="56"/>
      <c r="J357" s="56"/>
      <c r="K357" s="56"/>
    </row>
    <row r="358" spans="1:11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1:11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1:11" ht="12.75">
      <c r="A360" s="54"/>
      <c r="B360" s="54" t="s">
        <v>339</v>
      </c>
      <c r="C360" s="54"/>
      <c r="D360" s="54"/>
      <c r="E360" s="54"/>
      <c r="F360" s="54"/>
      <c r="G360" s="54"/>
      <c r="H360" s="54"/>
      <c r="I360" s="54"/>
      <c r="J360" s="54" t="s">
        <v>247</v>
      </c>
      <c r="K360" s="54"/>
    </row>
    <row r="378" spans="1:11" ht="12.75">
      <c r="A378" s="54"/>
      <c r="B378" s="54" t="s">
        <v>315</v>
      </c>
      <c r="C378" s="54"/>
      <c r="D378" s="54"/>
      <c r="E378" s="54"/>
      <c r="F378" s="54"/>
      <c r="G378" s="54"/>
      <c r="H378" s="54" t="s">
        <v>316</v>
      </c>
      <c r="I378" s="54"/>
      <c r="J378" s="54"/>
      <c r="K378" s="54"/>
    </row>
    <row r="379" spans="1:11" ht="12.75">
      <c r="A379" s="54"/>
      <c r="B379" s="54"/>
      <c r="C379" s="54"/>
      <c r="D379" s="54" t="s">
        <v>329</v>
      </c>
      <c r="E379" s="54"/>
      <c r="F379" s="54"/>
      <c r="G379" s="54"/>
      <c r="H379" s="54"/>
      <c r="I379" s="54"/>
      <c r="J379" s="54"/>
      <c r="K379" s="54"/>
    </row>
    <row r="380" spans="1:11" ht="12.75">
      <c r="A380" s="54"/>
      <c r="B380" s="54"/>
      <c r="C380" s="54"/>
      <c r="D380" s="54"/>
      <c r="E380" s="54"/>
      <c r="F380" s="54"/>
      <c r="G380" s="54"/>
      <c r="H380" s="54"/>
      <c r="I380" s="54"/>
      <c r="J380" s="58" t="s">
        <v>341</v>
      </c>
      <c r="K380" s="58"/>
    </row>
    <row r="381" spans="1:11" ht="12.75">
      <c r="A381" s="209" t="s">
        <v>0</v>
      </c>
      <c r="B381" s="209" t="s">
        <v>317</v>
      </c>
      <c r="C381" s="209" t="s">
        <v>318</v>
      </c>
      <c r="D381" s="209" t="s">
        <v>319</v>
      </c>
      <c r="E381" s="212" t="s">
        <v>320</v>
      </c>
      <c r="F381" s="213"/>
      <c r="G381" s="213"/>
      <c r="H381" s="213"/>
      <c r="I381" s="214"/>
      <c r="J381" s="209" t="s">
        <v>326</v>
      </c>
      <c r="K381" s="209" t="s">
        <v>327</v>
      </c>
    </row>
    <row r="382" spans="1:11" ht="12.75">
      <c r="A382" s="210"/>
      <c r="B382" s="210"/>
      <c r="C382" s="210"/>
      <c r="D382" s="210"/>
      <c r="E382" s="212" t="s">
        <v>321</v>
      </c>
      <c r="F382" s="214"/>
      <c r="G382" s="212" t="s">
        <v>322</v>
      </c>
      <c r="H382" s="214"/>
      <c r="I382" s="209" t="s">
        <v>325</v>
      </c>
      <c r="J382" s="210"/>
      <c r="K382" s="210"/>
    </row>
    <row r="383" spans="1:11" ht="56.25">
      <c r="A383" s="211"/>
      <c r="B383" s="211"/>
      <c r="C383" s="211"/>
      <c r="D383" s="211"/>
      <c r="E383" s="55" t="s">
        <v>328</v>
      </c>
      <c r="F383" s="55" t="s">
        <v>328</v>
      </c>
      <c r="G383" s="55" t="s">
        <v>323</v>
      </c>
      <c r="H383" s="55" t="s">
        <v>324</v>
      </c>
      <c r="I383" s="211"/>
      <c r="J383" s="211"/>
      <c r="K383" s="211"/>
    </row>
    <row r="384" spans="1:11" ht="12.75">
      <c r="A384" s="53">
        <v>1</v>
      </c>
      <c r="B384" s="53">
        <v>2</v>
      </c>
      <c r="C384" s="53">
        <v>3</v>
      </c>
      <c r="D384" s="53">
        <v>4</v>
      </c>
      <c r="E384" s="53">
        <v>5</v>
      </c>
      <c r="F384" s="53">
        <v>6</v>
      </c>
      <c r="G384" s="53">
        <v>7</v>
      </c>
      <c r="H384" s="53">
        <v>8</v>
      </c>
      <c r="I384" s="53">
        <v>9</v>
      </c>
      <c r="J384" s="53">
        <v>10</v>
      </c>
      <c r="K384" s="53">
        <v>11</v>
      </c>
    </row>
    <row r="385" spans="1:11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1:11" ht="12.75">
      <c r="A386" s="57">
        <v>1</v>
      </c>
      <c r="B386" s="56" t="s">
        <v>330</v>
      </c>
      <c r="C386" s="57" t="s">
        <v>331</v>
      </c>
      <c r="D386" s="56"/>
      <c r="E386" s="56"/>
      <c r="F386" s="56"/>
      <c r="G386" s="56"/>
      <c r="H386" s="56"/>
      <c r="I386" s="56"/>
      <c r="J386" s="56"/>
      <c r="K386" s="56"/>
    </row>
    <row r="387" spans="1:11" ht="12.75">
      <c r="A387" s="57"/>
      <c r="B387" s="56" t="s">
        <v>332</v>
      </c>
      <c r="C387" s="57"/>
      <c r="D387" s="56"/>
      <c r="E387" s="56"/>
      <c r="F387" s="56"/>
      <c r="G387" s="56"/>
      <c r="H387" s="56"/>
      <c r="I387" s="56"/>
      <c r="J387" s="56"/>
      <c r="K387" s="56"/>
    </row>
    <row r="388" spans="1:11" ht="12.75">
      <c r="A388" s="57"/>
      <c r="B388" s="56"/>
      <c r="C388" s="54"/>
      <c r="D388" s="56"/>
      <c r="E388" s="56"/>
      <c r="F388" s="56"/>
      <c r="G388" s="56"/>
      <c r="H388" s="56"/>
      <c r="I388" s="56"/>
      <c r="J388" s="56"/>
      <c r="K388" s="56"/>
    </row>
    <row r="389" spans="1:11" ht="12.75">
      <c r="A389" s="57">
        <v>2</v>
      </c>
      <c r="B389" s="56" t="s">
        <v>333</v>
      </c>
      <c r="C389" s="57" t="s">
        <v>331</v>
      </c>
      <c r="D389" s="56"/>
      <c r="E389" s="56"/>
      <c r="F389" s="56"/>
      <c r="G389" s="56"/>
      <c r="H389" s="56"/>
      <c r="I389" s="56"/>
      <c r="J389" s="56"/>
      <c r="K389" s="56"/>
    </row>
    <row r="390" spans="1:11" ht="12.75">
      <c r="A390" s="57"/>
      <c r="B390" s="56" t="s">
        <v>332</v>
      </c>
      <c r="C390" s="57"/>
      <c r="D390" s="56"/>
      <c r="E390" s="56"/>
      <c r="F390" s="56"/>
      <c r="G390" s="56"/>
      <c r="H390" s="56"/>
      <c r="I390" s="56"/>
      <c r="J390" s="56"/>
      <c r="K390" s="56"/>
    </row>
    <row r="391" spans="1:11" ht="12.75">
      <c r="A391" s="57"/>
      <c r="B391" s="56"/>
      <c r="C391" s="57"/>
      <c r="D391" s="56"/>
      <c r="E391" s="56"/>
      <c r="F391" s="56"/>
      <c r="G391" s="56"/>
      <c r="H391" s="56"/>
      <c r="I391" s="56"/>
      <c r="J391" s="56"/>
      <c r="K391" s="56"/>
    </row>
    <row r="392" spans="1:11" ht="12.75">
      <c r="A392" s="57">
        <v>3</v>
      </c>
      <c r="B392" s="56" t="s">
        <v>334</v>
      </c>
      <c r="C392" s="57" t="s">
        <v>331</v>
      </c>
      <c r="D392" s="56"/>
      <c r="E392" s="56"/>
      <c r="F392" s="56"/>
      <c r="G392" s="56"/>
      <c r="H392" s="56"/>
      <c r="I392" s="56"/>
      <c r="J392" s="56"/>
      <c r="K392" s="56"/>
    </row>
    <row r="393" spans="1:11" ht="12.75">
      <c r="A393" s="57"/>
      <c r="B393" s="56" t="s">
        <v>332</v>
      </c>
      <c r="C393" s="57"/>
      <c r="D393" s="56"/>
      <c r="E393" s="56"/>
      <c r="F393" s="56"/>
      <c r="G393" s="56"/>
      <c r="H393" s="56"/>
      <c r="I393" s="56"/>
      <c r="J393" s="56"/>
      <c r="K393" s="56"/>
    </row>
    <row r="394" spans="1:11" ht="12.75">
      <c r="A394" s="57"/>
      <c r="B394" s="56"/>
      <c r="C394" s="57"/>
      <c r="D394" s="56"/>
      <c r="E394" s="56"/>
      <c r="F394" s="56"/>
      <c r="G394" s="56"/>
      <c r="H394" s="56"/>
      <c r="I394" s="56"/>
      <c r="J394" s="56"/>
      <c r="K394" s="56"/>
    </row>
    <row r="395" spans="1:11" ht="12.75">
      <c r="A395" s="57">
        <v>4</v>
      </c>
      <c r="B395" s="56" t="s">
        <v>335</v>
      </c>
      <c r="C395" s="57" t="s">
        <v>337</v>
      </c>
      <c r="D395" s="56"/>
      <c r="E395" s="56"/>
      <c r="F395" s="56"/>
      <c r="G395" s="56"/>
      <c r="H395" s="56"/>
      <c r="I395" s="56"/>
      <c r="J395" s="56"/>
      <c r="K395" s="56"/>
    </row>
    <row r="396" spans="1:11" ht="12.75">
      <c r="A396" s="57"/>
      <c r="B396" s="56" t="s">
        <v>332</v>
      </c>
      <c r="C396" s="57"/>
      <c r="D396" s="56"/>
      <c r="E396" s="56"/>
      <c r="F396" s="56"/>
      <c r="G396" s="56"/>
      <c r="H396" s="56"/>
      <c r="I396" s="56"/>
      <c r="J396" s="56"/>
      <c r="K396" s="56"/>
    </row>
    <row r="397" spans="1:11" ht="12.75">
      <c r="A397" s="57"/>
      <c r="B397" s="56"/>
      <c r="C397" s="57"/>
      <c r="D397" s="56"/>
      <c r="E397" s="56"/>
      <c r="F397" s="56"/>
      <c r="G397" s="56"/>
      <c r="H397" s="56"/>
      <c r="I397" s="56"/>
      <c r="J397" s="56"/>
      <c r="K397" s="56"/>
    </row>
    <row r="398" spans="1:11" ht="12.75">
      <c r="A398" s="57">
        <v>5</v>
      </c>
      <c r="B398" s="56" t="s">
        <v>336</v>
      </c>
      <c r="C398" s="57" t="s">
        <v>338</v>
      </c>
      <c r="D398" s="56"/>
      <c r="E398" s="56"/>
      <c r="F398" s="56"/>
      <c r="G398" s="56"/>
      <c r="H398" s="56"/>
      <c r="I398" s="56"/>
      <c r="J398" s="56"/>
      <c r="K398" s="56"/>
    </row>
    <row r="399" spans="1:11" ht="12.75">
      <c r="A399" s="56"/>
      <c r="B399" s="56" t="s">
        <v>332</v>
      </c>
      <c r="C399" s="57"/>
      <c r="D399" s="56"/>
      <c r="E399" s="56"/>
      <c r="F399" s="56"/>
      <c r="G399" s="56"/>
      <c r="H399" s="56"/>
      <c r="I399" s="56"/>
      <c r="J399" s="56"/>
      <c r="K399" s="56"/>
    </row>
    <row r="400" spans="1:11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1:11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</row>
    <row r="402" spans="1:11" ht="12.75">
      <c r="A402" s="54"/>
      <c r="B402" s="54" t="s">
        <v>339</v>
      </c>
      <c r="C402" s="54"/>
      <c r="D402" s="54"/>
      <c r="E402" s="54"/>
      <c r="F402" s="54"/>
      <c r="G402" s="54"/>
      <c r="H402" s="54"/>
      <c r="I402" s="54"/>
      <c r="J402" s="54" t="s">
        <v>247</v>
      </c>
      <c r="K402" s="54"/>
    </row>
    <row r="420" spans="1:11" ht="12.75">
      <c r="A420" s="54"/>
      <c r="B420" s="54" t="s">
        <v>315</v>
      </c>
      <c r="C420" s="54"/>
      <c r="D420" s="54"/>
      <c r="E420" s="54"/>
      <c r="F420" s="54"/>
      <c r="G420" s="54"/>
      <c r="H420" s="54" t="s">
        <v>316</v>
      </c>
      <c r="I420" s="54"/>
      <c r="J420" s="54"/>
      <c r="K420" s="54"/>
    </row>
    <row r="421" spans="1:11" ht="12.75">
      <c r="A421" s="54"/>
      <c r="B421" s="54"/>
      <c r="C421" s="54"/>
      <c r="D421" s="54" t="s">
        <v>329</v>
      </c>
      <c r="E421" s="54"/>
      <c r="F421" s="54"/>
      <c r="G421" s="54"/>
      <c r="H421" s="54"/>
      <c r="I421" s="54"/>
      <c r="J421" s="54"/>
      <c r="K421" s="54"/>
    </row>
    <row r="422" spans="1:11" ht="12.75">
      <c r="A422" s="54"/>
      <c r="B422" s="54"/>
      <c r="C422" s="54"/>
      <c r="D422" s="54"/>
      <c r="E422" s="54"/>
      <c r="F422" s="54"/>
      <c r="G422" s="54"/>
      <c r="H422" s="54"/>
      <c r="I422" s="54"/>
      <c r="J422" s="58" t="s">
        <v>341</v>
      </c>
      <c r="K422" s="58"/>
    </row>
    <row r="423" spans="1:11" ht="12.75">
      <c r="A423" s="209" t="s">
        <v>0</v>
      </c>
      <c r="B423" s="209" t="s">
        <v>317</v>
      </c>
      <c r="C423" s="209" t="s">
        <v>318</v>
      </c>
      <c r="D423" s="209" t="s">
        <v>319</v>
      </c>
      <c r="E423" s="212" t="s">
        <v>320</v>
      </c>
      <c r="F423" s="213"/>
      <c r="G423" s="213"/>
      <c r="H423" s="213"/>
      <c r="I423" s="214"/>
      <c r="J423" s="209" t="s">
        <v>326</v>
      </c>
      <c r="K423" s="209" t="s">
        <v>327</v>
      </c>
    </row>
    <row r="424" spans="1:11" ht="12.75">
      <c r="A424" s="210"/>
      <c r="B424" s="210"/>
      <c r="C424" s="210"/>
      <c r="D424" s="210"/>
      <c r="E424" s="212" t="s">
        <v>321</v>
      </c>
      <c r="F424" s="214"/>
      <c r="G424" s="212" t="s">
        <v>322</v>
      </c>
      <c r="H424" s="214"/>
      <c r="I424" s="209" t="s">
        <v>325</v>
      </c>
      <c r="J424" s="210"/>
      <c r="K424" s="210"/>
    </row>
    <row r="425" spans="1:11" ht="56.25">
      <c r="A425" s="211"/>
      <c r="B425" s="211"/>
      <c r="C425" s="211"/>
      <c r="D425" s="211"/>
      <c r="E425" s="55" t="s">
        <v>328</v>
      </c>
      <c r="F425" s="55" t="s">
        <v>328</v>
      </c>
      <c r="G425" s="55" t="s">
        <v>323</v>
      </c>
      <c r="H425" s="55" t="s">
        <v>324</v>
      </c>
      <c r="I425" s="211"/>
      <c r="J425" s="211"/>
      <c r="K425" s="211"/>
    </row>
    <row r="426" spans="1:11" ht="12.75">
      <c r="A426" s="53">
        <v>1</v>
      </c>
      <c r="B426" s="53">
        <v>2</v>
      </c>
      <c r="C426" s="53">
        <v>3</v>
      </c>
      <c r="D426" s="53">
        <v>4</v>
      </c>
      <c r="E426" s="53">
        <v>5</v>
      </c>
      <c r="F426" s="53">
        <v>6</v>
      </c>
      <c r="G426" s="53">
        <v>7</v>
      </c>
      <c r="H426" s="53">
        <v>8</v>
      </c>
      <c r="I426" s="53">
        <v>9</v>
      </c>
      <c r="J426" s="53">
        <v>10</v>
      </c>
      <c r="K426" s="53">
        <v>11</v>
      </c>
    </row>
    <row r="427" spans="1:11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1:11" ht="12.75">
      <c r="A428" s="57">
        <v>1</v>
      </c>
      <c r="B428" s="56" t="s">
        <v>330</v>
      </c>
      <c r="C428" s="57" t="s">
        <v>331</v>
      </c>
      <c r="D428" s="56"/>
      <c r="E428" s="56"/>
      <c r="F428" s="56"/>
      <c r="G428" s="56"/>
      <c r="H428" s="56"/>
      <c r="I428" s="56"/>
      <c r="J428" s="56"/>
      <c r="K428" s="56"/>
    </row>
    <row r="429" spans="1:11" ht="12.75">
      <c r="A429" s="57"/>
      <c r="B429" s="56" t="s">
        <v>332</v>
      </c>
      <c r="C429" s="57"/>
      <c r="D429" s="56"/>
      <c r="E429" s="56"/>
      <c r="F429" s="56"/>
      <c r="G429" s="56"/>
      <c r="H429" s="56"/>
      <c r="I429" s="56"/>
      <c r="J429" s="56"/>
      <c r="K429" s="56"/>
    </row>
    <row r="430" spans="1:11" ht="12.75">
      <c r="A430" s="57"/>
      <c r="B430" s="56"/>
      <c r="C430" s="54"/>
      <c r="D430" s="56"/>
      <c r="E430" s="56"/>
      <c r="F430" s="56"/>
      <c r="G430" s="56"/>
      <c r="H430" s="56"/>
      <c r="I430" s="56"/>
      <c r="J430" s="56"/>
      <c r="K430" s="56"/>
    </row>
    <row r="431" spans="1:11" ht="12.75">
      <c r="A431" s="57">
        <v>2</v>
      </c>
      <c r="B431" s="56" t="s">
        <v>333</v>
      </c>
      <c r="C431" s="57" t="s">
        <v>331</v>
      </c>
      <c r="D431" s="56"/>
      <c r="E431" s="56"/>
      <c r="F431" s="56"/>
      <c r="G431" s="56"/>
      <c r="H431" s="56"/>
      <c r="I431" s="56"/>
      <c r="J431" s="56"/>
      <c r="K431" s="56"/>
    </row>
    <row r="432" spans="1:11" ht="12.75">
      <c r="A432" s="57"/>
      <c r="B432" s="56" t="s">
        <v>332</v>
      </c>
      <c r="C432" s="57"/>
      <c r="D432" s="56"/>
      <c r="E432" s="56"/>
      <c r="F432" s="56"/>
      <c r="G432" s="56"/>
      <c r="H432" s="56"/>
      <c r="I432" s="56"/>
      <c r="J432" s="56"/>
      <c r="K432" s="56"/>
    </row>
    <row r="433" spans="1:11" ht="12.75">
      <c r="A433" s="57"/>
      <c r="B433" s="56"/>
      <c r="C433" s="57"/>
      <c r="D433" s="56"/>
      <c r="E433" s="56"/>
      <c r="F433" s="56"/>
      <c r="G433" s="56"/>
      <c r="H433" s="56"/>
      <c r="I433" s="56"/>
      <c r="J433" s="56"/>
      <c r="K433" s="56"/>
    </row>
    <row r="434" spans="1:11" ht="12.75">
      <c r="A434" s="57">
        <v>3</v>
      </c>
      <c r="B434" s="56" t="s">
        <v>334</v>
      </c>
      <c r="C434" s="57" t="s">
        <v>331</v>
      </c>
      <c r="D434" s="56"/>
      <c r="E434" s="56"/>
      <c r="F434" s="56"/>
      <c r="G434" s="56"/>
      <c r="H434" s="56"/>
      <c r="I434" s="56"/>
      <c r="J434" s="56"/>
      <c r="K434" s="56"/>
    </row>
    <row r="435" spans="1:11" ht="12.75">
      <c r="A435" s="57"/>
      <c r="B435" s="56" t="s">
        <v>332</v>
      </c>
      <c r="C435" s="57"/>
      <c r="D435" s="56"/>
      <c r="E435" s="56"/>
      <c r="F435" s="56"/>
      <c r="G435" s="56"/>
      <c r="H435" s="56"/>
      <c r="I435" s="56"/>
      <c r="J435" s="56"/>
      <c r="K435" s="56"/>
    </row>
    <row r="436" spans="1:11" ht="12.75">
      <c r="A436" s="57"/>
      <c r="B436" s="56"/>
      <c r="C436" s="57"/>
      <c r="D436" s="56"/>
      <c r="E436" s="56"/>
      <c r="F436" s="56"/>
      <c r="G436" s="56"/>
      <c r="H436" s="56"/>
      <c r="I436" s="56"/>
      <c r="J436" s="56"/>
      <c r="K436" s="56"/>
    </row>
    <row r="437" spans="1:11" ht="12.75">
      <c r="A437" s="57">
        <v>4</v>
      </c>
      <c r="B437" s="56" t="s">
        <v>335</v>
      </c>
      <c r="C437" s="57" t="s">
        <v>337</v>
      </c>
      <c r="D437" s="56"/>
      <c r="E437" s="56"/>
      <c r="F437" s="56"/>
      <c r="G437" s="56"/>
      <c r="H437" s="56"/>
      <c r="I437" s="56"/>
      <c r="J437" s="56"/>
      <c r="K437" s="56"/>
    </row>
    <row r="438" spans="1:11" ht="12.75">
      <c r="A438" s="57"/>
      <c r="B438" s="56" t="s">
        <v>332</v>
      </c>
      <c r="C438" s="57"/>
      <c r="D438" s="56"/>
      <c r="E438" s="56"/>
      <c r="F438" s="56"/>
      <c r="G438" s="56"/>
      <c r="H438" s="56"/>
      <c r="I438" s="56"/>
      <c r="J438" s="56"/>
      <c r="K438" s="56"/>
    </row>
    <row r="439" spans="1:11" ht="12.75">
      <c r="A439" s="57"/>
      <c r="B439" s="56"/>
      <c r="C439" s="57"/>
      <c r="D439" s="56"/>
      <c r="E439" s="56"/>
      <c r="F439" s="56"/>
      <c r="G439" s="56"/>
      <c r="H439" s="56"/>
      <c r="I439" s="56"/>
      <c r="J439" s="56"/>
      <c r="K439" s="56"/>
    </row>
    <row r="440" spans="1:11" ht="12.75">
      <c r="A440" s="57">
        <v>5</v>
      </c>
      <c r="B440" s="56" t="s">
        <v>336</v>
      </c>
      <c r="C440" s="57" t="s">
        <v>338</v>
      </c>
      <c r="D440" s="56"/>
      <c r="E440" s="56"/>
      <c r="F440" s="56"/>
      <c r="G440" s="56"/>
      <c r="H440" s="56"/>
      <c r="I440" s="56"/>
      <c r="J440" s="56"/>
      <c r="K440" s="56"/>
    </row>
    <row r="441" spans="1:11" ht="12.75">
      <c r="A441" s="56"/>
      <c r="B441" s="56" t="s">
        <v>332</v>
      </c>
      <c r="C441" s="57"/>
      <c r="D441" s="56"/>
      <c r="E441" s="56"/>
      <c r="F441" s="56"/>
      <c r="G441" s="56"/>
      <c r="H441" s="56"/>
      <c r="I441" s="56"/>
      <c r="J441" s="56"/>
      <c r="K441" s="56"/>
    </row>
    <row r="442" spans="1:11" ht="12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1:11" ht="12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</row>
    <row r="444" spans="1:11" ht="12.75">
      <c r="A444" s="54"/>
      <c r="B444" s="54" t="s">
        <v>339</v>
      </c>
      <c r="C444" s="54"/>
      <c r="D444" s="54"/>
      <c r="E444" s="54"/>
      <c r="F444" s="54"/>
      <c r="G444" s="54"/>
      <c r="H444" s="54"/>
      <c r="I444" s="54"/>
      <c r="J444" s="54" t="s">
        <v>247</v>
      </c>
      <c r="K444" s="54"/>
    </row>
    <row r="462" spans="1:11" ht="12.75">
      <c r="A462" s="54"/>
      <c r="B462" s="54" t="s">
        <v>315</v>
      </c>
      <c r="C462" s="54"/>
      <c r="D462" s="54"/>
      <c r="E462" s="54"/>
      <c r="F462" s="54"/>
      <c r="G462" s="54"/>
      <c r="H462" s="54" t="s">
        <v>316</v>
      </c>
      <c r="I462" s="54"/>
      <c r="J462" s="54"/>
      <c r="K462" s="54"/>
    </row>
    <row r="463" spans="1:11" ht="12.75">
      <c r="A463" s="54"/>
      <c r="B463" s="54"/>
      <c r="C463" s="54"/>
      <c r="D463" s="54" t="s">
        <v>329</v>
      </c>
      <c r="E463" s="54"/>
      <c r="F463" s="54"/>
      <c r="G463" s="54"/>
      <c r="H463" s="54"/>
      <c r="I463" s="54"/>
      <c r="J463" s="54"/>
      <c r="K463" s="54"/>
    </row>
    <row r="464" spans="1:11" ht="12.75">
      <c r="A464" s="54"/>
      <c r="B464" s="54"/>
      <c r="C464" s="54"/>
      <c r="D464" s="54"/>
      <c r="E464" s="54"/>
      <c r="F464" s="54"/>
      <c r="G464" s="54"/>
      <c r="H464" s="54"/>
      <c r="I464" s="54"/>
      <c r="J464" s="58" t="s">
        <v>341</v>
      </c>
      <c r="K464" s="58"/>
    </row>
    <row r="465" spans="1:11" ht="12.75">
      <c r="A465" s="209" t="s">
        <v>0</v>
      </c>
      <c r="B465" s="209" t="s">
        <v>317</v>
      </c>
      <c r="C465" s="209" t="s">
        <v>318</v>
      </c>
      <c r="D465" s="209" t="s">
        <v>319</v>
      </c>
      <c r="E465" s="212" t="s">
        <v>320</v>
      </c>
      <c r="F465" s="213"/>
      <c r="G465" s="213"/>
      <c r="H465" s="213"/>
      <c r="I465" s="214"/>
      <c r="J465" s="209" t="s">
        <v>326</v>
      </c>
      <c r="K465" s="209" t="s">
        <v>327</v>
      </c>
    </row>
    <row r="466" spans="1:11" ht="12.75">
      <c r="A466" s="210"/>
      <c r="B466" s="210"/>
      <c r="C466" s="210"/>
      <c r="D466" s="210"/>
      <c r="E466" s="212" t="s">
        <v>321</v>
      </c>
      <c r="F466" s="214"/>
      <c r="G466" s="212" t="s">
        <v>322</v>
      </c>
      <c r="H466" s="214"/>
      <c r="I466" s="209" t="s">
        <v>325</v>
      </c>
      <c r="J466" s="210"/>
      <c r="K466" s="210"/>
    </row>
    <row r="467" spans="1:11" ht="56.25">
      <c r="A467" s="211"/>
      <c r="B467" s="211"/>
      <c r="C467" s="211"/>
      <c r="D467" s="211"/>
      <c r="E467" s="55" t="s">
        <v>328</v>
      </c>
      <c r="F467" s="55" t="s">
        <v>328</v>
      </c>
      <c r="G467" s="55" t="s">
        <v>323</v>
      </c>
      <c r="H467" s="55" t="s">
        <v>324</v>
      </c>
      <c r="I467" s="211"/>
      <c r="J467" s="211"/>
      <c r="K467" s="211"/>
    </row>
    <row r="468" spans="1:11" ht="12.75">
      <c r="A468" s="53">
        <v>1</v>
      </c>
      <c r="B468" s="53">
        <v>2</v>
      </c>
      <c r="C468" s="53">
        <v>3</v>
      </c>
      <c r="D468" s="53">
        <v>4</v>
      </c>
      <c r="E468" s="53">
        <v>5</v>
      </c>
      <c r="F468" s="53">
        <v>6</v>
      </c>
      <c r="G468" s="53">
        <v>7</v>
      </c>
      <c r="H468" s="53">
        <v>8</v>
      </c>
      <c r="I468" s="53">
        <v>9</v>
      </c>
      <c r="J468" s="53">
        <v>10</v>
      </c>
      <c r="K468" s="53">
        <v>11</v>
      </c>
    </row>
    <row r="469" spans="1:11" ht="12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1:11" ht="12.75">
      <c r="A470" s="57">
        <v>1</v>
      </c>
      <c r="B470" s="56" t="s">
        <v>330</v>
      </c>
      <c r="C470" s="57" t="s">
        <v>331</v>
      </c>
      <c r="D470" s="56"/>
      <c r="E470" s="56"/>
      <c r="F470" s="56"/>
      <c r="G470" s="56"/>
      <c r="H470" s="56"/>
      <c r="I470" s="56"/>
      <c r="J470" s="56"/>
      <c r="K470" s="56"/>
    </row>
    <row r="471" spans="1:11" ht="12.75">
      <c r="A471" s="57"/>
      <c r="B471" s="56" t="s">
        <v>332</v>
      </c>
      <c r="C471" s="57"/>
      <c r="D471" s="56"/>
      <c r="E471" s="56"/>
      <c r="F471" s="56"/>
      <c r="G471" s="56"/>
      <c r="H471" s="56"/>
      <c r="I471" s="56"/>
      <c r="J471" s="56"/>
      <c r="K471" s="56"/>
    </row>
    <row r="472" spans="1:11" ht="12.75">
      <c r="A472" s="57"/>
      <c r="B472" s="56"/>
      <c r="C472" s="54"/>
      <c r="D472" s="56"/>
      <c r="E472" s="56"/>
      <c r="F472" s="56"/>
      <c r="G472" s="56"/>
      <c r="H472" s="56"/>
      <c r="I472" s="56"/>
      <c r="J472" s="56"/>
      <c r="K472" s="56"/>
    </row>
    <row r="473" spans="1:11" ht="12.75">
      <c r="A473" s="57">
        <v>2</v>
      </c>
      <c r="B473" s="56" t="s">
        <v>333</v>
      </c>
      <c r="C473" s="57" t="s">
        <v>331</v>
      </c>
      <c r="D473" s="56"/>
      <c r="E473" s="56"/>
      <c r="F473" s="56"/>
      <c r="G473" s="56"/>
      <c r="H473" s="56"/>
      <c r="I473" s="56"/>
      <c r="J473" s="56"/>
      <c r="K473" s="56"/>
    </row>
    <row r="474" spans="1:11" ht="12.75">
      <c r="A474" s="57"/>
      <c r="B474" s="56" t="s">
        <v>332</v>
      </c>
      <c r="C474" s="57"/>
      <c r="D474" s="56"/>
      <c r="E474" s="56"/>
      <c r="F474" s="56"/>
      <c r="G474" s="56"/>
      <c r="H474" s="56"/>
      <c r="I474" s="56"/>
      <c r="J474" s="56"/>
      <c r="K474" s="56"/>
    </row>
    <row r="475" spans="1:11" ht="12.75">
      <c r="A475" s="57"/>
      <c r="B475" s="56"/>
      <c r="C475" s="57"/>
      <c r="D475" s="56"/>
      <c r="E475" s="56"/>
      <c r="F475" s="56"/>
      <c r="G475" s="56"/>
      <c r="H475" s="56"/>
      <c r="I475" s="56"/>
      <c r="J475" s="56"/>
      <c r="K475" s="56"/>
    </row>
    <row r="476" spans="1:11" ht="12.75">
      <c r="A476" s="57">
        <v>3</v>
      </c>
      <c r="B476" s="56" t="s">
        <v>334</v>
      </c>
      <c r="C476" s="57" t="s">
        <v>331</v>
      </c>
      <c r="D476" s="56"/>
      <c r="E476" s="56"/>
      <c r="F476" s="56"/>
      <c r="G476" s="56"/>
      <c r="H476" s="56"/>
      <c r="I476" s="56"/>
      <c r="J476" s="56"/>
      <c r="K476" s="56"/>
    </row>
    <row r="477" spans="1:11" ht="12.75">
      <c r="A477" s="57"/>
      <c r="B477" s="56" t="s">
        <v>332</v>
      </c>
      <c r="C477" s="57"/>
      <c r="D477" s="56"/>
      <c r="E477" s="56"/>
      <c r="F477" s="56"/>
      <c r="G477" s="56"/>
      <c r="H477" s="56"/>
      <c r="I477" s="56"/>
      <c r="J477" s="56"/>
      <c r="K477" s="56"/>
    </row>
    <row r="478" spans="1:11" ht="12.75">
      <c r="A478" s="57"/>
      <c r="B478" s="56"/>
      <c r="C478" s="57"/>
      <c r="D478" s="56"/>
      <c r="E478" s="56"/>
      <c r="F478" s="56"/>
      <c r="G478" s="56"/>
      <c r="H478" s="56"/>
      <c r="I478" s="56"/>
      <c r="J478" s="56"/>
      <c r="K478" s="56"/>
    </row>
    <row r="479" spans="1:11" ht="12.75">
      <c r="A479" s="57">
        <v>4</v>
      </c>
      <c r="B479" s="56" t="s">
        <v>335</v>
      </c>
      <c r="C479" s="57" t="s">
        <v>337</v>
      </c>
      <c r="D479" s="56"/>
      <c r="E479" s="56"/>
      <c r="F479" s="56"/>
      <c r="G479" s="56"/>
      <c r="H479" s="56"/>
      <c r="I479" s="56"/>
      <c r="J479" s="56"/>
      <c r="K479" s="56"/>
    </row>
    <row r="480" spans="1:11" ht="12.75">
      <c r="A480" s="57"/>
      <c r="B480" s="56" t="s">
        <v>332</v>
      </c>
      <c r="C480" s="57"/>
      <c r="D480" s="56"/>
      <c r="E480" s="56"/>
      <c r="F480" s="56"/>
      <c r="G480" s="56"/>
      <c r="H480" s="56"/>
      <c r="I480" s="56"/>
      <c r="J480" s="56"/>
      <c r="K480" s="56"/>
    </row>
    <row r="481" spans="1:11" ht="12.75">
      <c r="A481" s="57"/>
      <c r="B481" s="56"/>
      <c r="C481" s="57"/>
      <c r="D481" s="56"/>
      <c r="E481" s="56"/>
      <c r="F481" s="56"/>
      <c r="G481" s="56"/>
      <c r="H481" s="56"/>
      <c r="I481" s="56"/>
      <c r="J481" s="56"/>
      <c r="K481" s="56"/>
    </row>
    <row r="482" spans="1:11" ht="12.75">
      <c r="A482" s="57">
        <v>5</v>
      </c>
      <c r="B482" s="56" t="s">
        <v>336</v>
      </c>
      <c r="C482" s="57" t="s">
        <v>338</v>
      </c>
      <c r="D482" s="56"/>
      <c r="E482" s="56"/>
      <c r="F482" s="56"/>
      <c r="G482" s="56"/>
      <c r="H482" s="56"/>
      <c r="I482" s="56"/>
      <c r="J482" s="56"/>
      <c r="K482" s="56"/>
    </row>
    <row r="483" spans="1:11" ht="12.75">
      <c r="A483" s="56"/>
      <c r="B483" s="56" t="s">
        <v>332</v>
      </c>
      <c r="C483" s="57"/>
      <c r="D483" s="56"/>
      <c r="E483" s="56"/>
      <c r="F483" s="56"/>
      <c r="G483" s="56"/>
      <c r="H483" s="56"/>
      <c r="I483" s="56"/>
      <c r="J483" s="56"/>
      <c r="K483" s="56"/>
    </row>
    <row r="484" spans="1:11" ht="12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1:11" ht="12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</row>
    <row r="486" spans="1:11" ht="12.75">
      <c r="A486" s="54"/>
      <c r="B486" s="54" t="s">
        <v>339</v>
      </c>
      <c r="C486" s="54"/>
      <c r="D486" s="54"/>
      <c r="E486" s="54"/>
      <c r="F486" s="54"/>
      <c r="G486" s="54"/>
      <c r="H486" s="54"/>
      <c r="I486" s="54"/>
      <c r="J486" s="54" t="s">
        <v>247</v>
      </c>
      <c r="K486" s="54"/>
    </row>
    <row r="504" spans="1:11" ht="12.75">
      <c r="A504" s="54"/>
      <c r="B504" s="54" t="s">
        <v>315</v>
      </c>
      <c r="C504" s="54"/>
      <c r="D504" s="54"/>
      <c r="E504" s="54"/>
      <c r="F504" s="54"/>
      <c r="G504" s="54"/>
      <c r="H504" s="54" t="s">
        <v>316</v>
      </c>
      <c r="I504" s="54"/>
      <c r="J504" s="54"/>
      <c r="K504" s="54"/>
    </row>
    <row r="505" spans="1:11" ht="12.75">
      <c r="A505" s="54"/>
      <c r="B505" s="54"/>
      <c r="C505" s="54"/>
      <c r="D505" s="54" t="s">
        <v>329</v>
      </c>
      <c r="E505" s="54"/>
      <c r="F505" s="54"/>
      <c r="G505" s="54"/>
      <c r="H505" s="54"/>
      <c r="I505" s="54"/>
      <c r="J505" s="54"/>
      <c r="K505" s="54"/>
    </row>
    <row r="506" spans="1:11" ht="12.75">
      <c r="A506" s="54"/>
      <c r="B506" s="54"/>
      <c r="C506" s="54"/>
      <c r="D506" s="54"/>
      <c r="E506" s="54"/>
      <c r="F506" s="54"/>
      <c r="G506" s="54"/>
      <c r="H506" s="54"/>
      <c r="I506" s="54"/>
      <c r="J506" s="58" t="s">
        <v>341</v>
      </c>
      <c r="K506" s="58"/>
    </row>
    <row r="507" spans="1:11" ht="12.75">
      <c r="A507" s="209" t="s">
        <v>0</v>
      </c>
      <c r="B507" s="209" t="s">
        <v>317</v>
      </c>
      <c r="C507" s="209" t="s">
        <v>318</v>
      </c>
      <c r="D507" s="209" t="s">
        <v>319</v>
      </c>
      <c r="E507" s="212" t="s">
        <v>320</v>
      </c>
      <c r="F507" s="213"/>
      <c r="G507" s="213"/>
      <c r="H507" s="213"/>
      <c r="I507" s="214"/>
      <c r="J507" s="209" t="s">
        <v>326</v>
      </c>
      <c r="K507" s="209" t="s">
        <v>327</v>
      </c>
    </row>
    <row r="508" spans="1:11" ht="12.75">
      <c r="A508" s="210"/>
      <c r="B508" s="210"/>
      <c r="C508" s="210"/>
      <c r="D508" s="210"/>
      <c r="E508" s="212" t="s">
        <v>321</v>
      </c>
      <c r="F508" s="214"/>
      <c r="G508" s="212" t="s">
        <v>322</v>
      </c>
      <c r="H508" s="214"/>
      <c r="I508" s="209" t="s">
        <v>325</v>
      </c>
      <c r="J508" s="210"/>
      <c r="K508" s="210"/>
    </row>
    <row r="509" spans="1:11" ht="56.25">
      <c r="A509" s="211"/>
      <c r="B509" s="211"/>
      <c r="C509" s="211"/>
      <c r="D509" s="211"/>
      <c r="E509" s="55" t="s">
        <v>328</v>
      </c>
      <c r="F509" s="55" t="s">
        <v>328</v>
      </c>
      <c r="G509" s="55" t="s">
        <v>323</v>
      </c>
      <c r="H509" s="55" t="s">
        <v>324</v>
      </c>
      <c r="I509" s="211"/>
      <c r="J509" s="211"/>
      <c r="K509" s="211"/>
    </row>
    <row r="510" spans="1:11" ht="12.75">
      <c r="A510" s="53">
        <v>1</v>
      </c>
      <c r="B510" s="53">
        <v>2</v>
      </c>
      <c r="C510" s="53">
        <v>3</v>
      </c>
      <c r="D510" s="53">
        <v>4</v>
      </c>
      <c r="E510" s="53">
        <v>5</v>
      </c>
      <c r="F510" s="53">
        <v>6</v>
      </c>
      <c r="G510" s="53">
        <v>7</v>
      </c>
      <c r="H510" s="53">
        <v>8</v>
      </c>
      <c r="I510" s="53">
        <v>9</v>
      </c>
      <c r="J510" s="53">
        <v>10</v>
      </c>
      <c r="K510" s="53">
        <v>11</v>
      </c>
    </row>
    <row r="511" spans="1:11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1:11" ht="12.75">
      <c r="A512" s="57">
        <v>1</v>
      </c>
      <c r="B512" s="56" t="s">
        <v>330</v>
      </c>
      <c r="C512" s="57" t="s">
        <v>331</v>
      </c>
      <c r="D512" s="56"/>
      <c r="E512" s="56"/>
      <c r="F512" s="56"/>
      <c r="G512" s="56"/>
      <c r="H512" s="56"/>
      <c r="I512" s="56"/>
      <c r="J512" s="56"/>
      <c r="K512" s="56"/>
    </row>
    <row r="513" spans="1:11" ht="12.75">
      <c r="A513" s="57"/>
      <c r="B513" s="56" t="s">
        <v>332</v>
      </c>
      <c r="C513" s="57"/>
      <c r="D513" s="56"/>
      <c r="E513" s="56"/>
      <c r="F513" s="56"/>
      <c r="G513" s="56"/>
      <c r="H513" s="56"/>
      <c r="I513" s="56"/>
      <c r="J513" s="56"/>
      <c r="K513" s="56"/>
    </row>
    <row r="514" spans="1:11" ht="12.75">
      <c r="A514" s="57"/>
      <c r="B514" s="56"/>
      <c r="C514" s="54"/>
      <c r="D514" s="56"/>
      <c r="E514" s="56"/>
      <c r="F514" s="56"/>
      <c r="G514" s="56"/>
      <c r="H514" s="56"/>
      <c r="I514" s="56"/>
      <c r="J514" s="56"/>
      <c r="K514" s="56"/>
    </row>
    <row r="515" spans="1:11" ht="12.75">
      <c r="A515" s="57">
        <v>2</v>
      </c>
      <c r="B515" s="56" t="s">
        <v>333</v>
      </c>
      <c r="C515" s="57" t="s">
        <v>331</v>
      </c>
      <c r="D515" s="56"/>
      <c r="E515" s="56"/>
      <c r="F515" s="56"/>
      <c r="G515" s="56"/>
      <c r="H515" s="56"/>
      <c r="I515" s="56"/>
      <c r="J515" s="56"/>
      <c r="K515" s="56"/>
    </row>
    <row r="516" spans="1:11" ht="12.75">
      <c r="A516" s="57"/>
      <c r="B516" s="56" t="s">
        <v>332</v>
      </c>
      <c r="C516" s="57"/>
      <c r="D516" s="56"/>
      <c r="E516" s="56"/>
      <c r="F516" s="56"/>
      <c r="G516" s="56"/>
      <c r="H516" s="56"/>
      <c r="I516" s="56"/>
      <c r="J516" s="56"/>
      <c r="K516" s="56"/>
    </row>
    <row r="517" spans="1:11" ht="12.75">
      <c r="A517" s="57"/>
      <c r="B517" s="56"/>
      <c r="C517" s="57"/>
      <c r="D517" s="56"/>
      <c r="E517" s="56"/>
      <c r="F517" s="56"/>
      <c r="G517" s="56"/>
      <c r="H517" s="56"/>
      <c r="I517" s="56"/>
      <c r="J517" s="56"/>
      <c r="K517" s="56"/>
    </row>
    <row r="518" spans="1:11" ht="12.75">
      <c r="A518" s="57">
        <v>3</v>
      </c>
      <c r="B518" s="56" t="s">
        <v>334</v>
      </c>
      <c r="C518" s="57" t="s">
        <v>331</v>
      </c>
      <c r="D518" s="56"/>
      <c r="E518" s="56"/>
      <c r="F518" s="56"/>
      <c r="G518" s="56"/>
      <c r="H518" s="56"/>
      <c r="I518" s="56"/>
      <c r="J518" s="56"/>
      <c r="K518" s="56"/>
    </row>
    <row r="519" spans="1:11" ht="12.75">
      <c r="A519" s="57"/>
      <c r="B519" s="56" t="s">
        <v>332</v>
      </c>
      <c r="C519" s="57"/>
      <c r="D519" s="56"/>
      <c r="E519" s="56"/>
      <c r="F519" s="56"/>
      <c r="G519" s="56"/>
      <c r="H519" s="56"/>
      <c r="I519" s="56"/>
      <c r="J519" s="56"/>
      <c r="K519" s="56"/>
    </row>
    <row r="520" spans="1:11" ht="12.75">
      <c r="A520" s="57"/>
      <c r="B520" s="56"/>
      <c r="C520" s="57"/>
      <c r="D520" s="56"/>
      <c r="E520" s="56"/>
      <c r="F520" s="56"/>
      <c r="G520" s="56"/>
      <c r="H520" s="56"/>
      <c r="I520" s="56"/>
      <c r="J520" s="56"/>
      <c r="K520" s="56"/>
    </row>
    <row r="521" spans="1:11" ht="12.75">
      <c r="A521" s="57">
        <v>4</v>
      </c>
      <c r="B521" s="56" t="s">
        <v>335</v>
      </c>
      <c r="C521" s="57" t="s">
        <v>337</v>
      </c>
      <c r="D521" s="56"/>
      <c r="E521" s="56"/>
      <c r="F521" s="56"/>
      <c r="G521" s="56"/>
      <c r="H521" s="56"/>
      <c r="I521" s="56"/>
      <c r="J521" s="56"/>
      <c r="K521" s="56"/>
    </row>
    <row r="522" spans="1:11" ht="12.75">
      <c r="A522" s="57"/>
      <c r="B522" s="56" t="s">
        <v>332</v>
      </c>
      <c r="C522" s="57"/>
      <c r="D522" s="56"/>
      <c r="E522" s="56"/>
      <c r="F522" s="56"/>
      <c r="G522" s="56"/>
      <c r="H522" s="56"/>
      <c r="I522" s="56"/>
      <c r="J522" s="56"/>
      <c r="K522" s="56"/>
    </row>
    <row r="523" spans="1:11" ht="12.75">
      <c r="A523" s="57"/>
      <c r="B523" s="56"/>
      <c r="C523" s="57"/>
      <c r="D523" s="56"/>
      <c r="E523" s="56"/>
      <c r="F523" s="56"/>
      <c r="G523" s="56"/>
      <c r="H523" s="56"/>
      <c r="I523" s="56"/>
      <c r="J523" s="56"/>
      <c r="K523" s="56"/>
    </row>
    <row r="524" spans="1:11" ht="12.75">
      <c r="A524" s="57">
        <v>5</v>
      </c>
      <c r="B524" s="56" t="s">
        <v>336</v>
      </c>
      <c r="C524" s="57" t="s">
        <v>338</v>
      </c>
      <c r="D524" s="56"/>
      <c r="E524" s="56"/>
      <c r="F524" s="56"/>
      <c r="G524" s="56"/>
      <c r="H524" s="56"/>
      <c r="I524" s="56"/>
      <c r="J524" s="56"/>
      <c r="K524" s="56"/>
    </row>
    <row r="525" spans="1:11" ht="12.75">
      <c r="A525" s="56"/>
      <c r="B525" s="56" t="s">
        <v>332</v>
      </c>
      <c r="C525" s="57"/>
      <c r="D525" s="56"/>
      <c r="E525" s="56"/>
      <c r="F525" s="56"/>
      <c r="G525" s="56"/>
      <c r="H525" s="56"/>
      <c r="I525" s="56"/>
      <c r="J525" s="56"/>
      <c r="K525" s="56"/>
    </row>
    <row r="526" spans="1:11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1:11" ht="12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</row>
    <row r="528" spans="1:11" ht="12.75">
      <c r="A528" s="54"/>
      <c r="B528" s="54" t="s">
        <v>339</v>
      </c>
      <c r="C528" s="54"/>
      <c r="D528" s="54"/>
      <c r="E528" s="54"/>
      <c r="F528" s="54"/>
      <c r="G528" s="54"/>
      <c r="H528" s="54"/>
      <c r="I528" s="54"/>
      <c r="J528" s="54" t="s">
        <v>247</v>
      </c>
      <c r="K528" s="54"/>
    </row>
    <row r="546" spans="1:11" ht="12.75">
      <c r="A546" s="54"/>
      <c r="B546" s="54" t="s">
        <v>315</v>
      </c>
      <c r="C546" s="54"/>
      <c r="D546" s="54"/>
      <c r="E546" s="54"/>
      <c r="F546" s="54"/>
      <c r="G546" s="54"/>
      <c r="H546" s="54" t="s">
        <v>316</v>
      </c>
      <c r="I546" s="54"/>
      <c r="J546" s="54"/>
      <c r="K546" s="54"/>
    </row>
    <row r="547" spans="1:11" ht="12.75">
      <c r="A547" s="54"/>
      <c r="B547" s="54"/>
      <c r="C547" s="54"/>
      <c r="D547" s="54" t="s">
        <v>329</v>
      </c>
      <c r="E547" s="54"/>
      <c r="F547" s="54"/>
      <c r="G547" s="54"/>
      <c r="H547" s="54"/>
      <c r="I547" s="54"/>
      <c r="J547" s="54"/>
      <c r="K547" s="54"/>
    </row>
    <row r="548" spans="1:11" ht="12.75">
      <c r="A548" s="54"/>
      <c r="B548" s="54"/>
      <c r="C548" s="54"/>
      <c r="D548" s="54"/>
      <c r="E548" s="54"/>
      <c r="F548" s="54"/>
      <c r="G548" s="54"/>
      <c r="H548" s="54"/>
      <c r="I548" s="54"/>
      <c r="J548" s="58" t="s">
        <v>341</v>
      </c>
      <c r="K548" s="58"/>
    </row>
    <row r="549" spans="1:11" ht="12.75">
      <c r="A549" s="209" t="s">
        <v>0</v>
      </c>
      <c r="B549" s="209" t="s">
        <v>317</v>
      </c>
      <c r="C549" s="209" t="s">
        <v>318</v>
      </c>
      <c r="D549" s="209" t="s">
        <v>319</v>
      </c>
      <c r="E549" s="212" t="s">
        <v>320</v>
      </c>
      <c r="F549" s="213"/>
      <c r="G549" s="213"/>
      <c r="H549" s="213"/>
      <c r="I549" s="214"/>
      <c r="J549" s="209" t="s">
        <v>326</v>
      </c>
      <c r="K549" s="209" t="s">
        <v>327</v>
      </c>
    </row>
    <row r="550" spans="1:11" ht="12.75">
      <c r="A550" s="210"/>
      <c r="B550" s="210"/>
      <c r="C550" s="210"/>
      <c r="D550" s="210"/>
      <c r="E550" s="212" t="s">
        <v>321</v>
      </c>
      <c r="F550" s="214"/>
      <c r="G550" s="212" t="s">
        <v>322</v>
      </c>
      <c r="H550" s="214"/>
      <c r="I550" s="209" t="s">
        <v>325</v>
      </c>
      <c r="J550" s="210"/>
      <c r="K550" s="210"/>
    </row>
    <row r="551" spans="1:11" ht="56.25">
      <c r="A551" s="211"/>
      <c r="B551" s="211"/>
      <c r="C551" s="211"/>
      <c r="D551" s="211"/>
      <c r="E551" s="55" t="s">
        <v>328</v>
      </c>
      <c r="F551" s="55" t="s">
        <v>328</v>
      </c>
      <c r="G551" s="55" t="s">
        <v>323</v>
      </c>
      <c r="H551" s="55" t="s">
        <v>324</v>
      </c>
      <c r="I551" s="211"/>
      <c r="J551" s="211"/>
      <c r="K551" s="211"/>
    </row>
    <row r="552" spans="1:11" ht="12.75">
      <c r="A552" s="53">
        <v>1</v>
      </c>
      <c r="B552" s="53">
        <v>2</v>
      </c>
      <c r="C552" s="53">
        <v>3</v>
      </c>
      <c r="D552" s="53">
        <v>4</v>
      </c>
      <c r="E552" s="53">
        <v>5</v>
      </c>
      <c r="F552" s="53">
        <v>6</v>
      </c>
      <c r="G552" s="53">
        <v>7</v>
      </c>
      <c r="H552" s="53">
        <v>8</v>
      </c>
      <c r="I552" s="53">
        <v>9</v>
      </c>
      <c r="J552" s="53">
        <v>10</v>
      </c>
      <c r="K552" s="53">
        <v>11</v>
      </c>
    </row>
    <row r="553" spans="1:11" ht="12.7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</row>
    <row r="554" spans="1:11" ht="12.75">
      <c r="A554" s="57">
        <v>1</v>
      </c>
      <c r="B554" s="56" t="s">
        <v>330</v>
      </c>
      <c r="C554" s="57" t="s">
        <v>331</v>
      </c>
      <c r="D554" s="56"/>
      <c r="E554" s="56"/>
      <c r="F554" s="56"/>
      <c r="G554" s="56"/>
      <c r="H554" s="56"/>
      <c r="I554" s="56"/>
      <c r="J554" s="56"/>
      <c r="K554" s="56"/>
    </row>
    <row r="555" spans="1:11" ht="12.75">
      <c r="A555" s="57"/>
      <c r="B555" s="56" t="s">
        <v>332</v>
      </c>
      <c r="C555" s="57"/>
      <c r="D555" s="56"/>
      <c r="E555" s="56"/>
      <c r="F555" s="56"/>
      <c r="G555" s="56"/>
      <c r="H555" s="56"/>
      <c r="I555" s="56"/>
      <c r="J555" s="56"/>
      <c r="K555" s="56"/>
    </row>
    <row r="556" spans="1:11" ht="12.75">
      <c r="A556" s="57"/>
      <c r="B556" s="56"/>
      <c r="C556" s="54"/>
      <c r="D556" s="56"/>
      <c r="E556" s="56"/>
      <c r="F556" s="56"/>
      <c r="G556" s="56"/>
      <c r="H556" s="56"/>
      <c r="I556" s="56"/>
      <c r="J556" s="56"/>
      <c r="K556" s="56"/>
    </row>
    <row r="557" spans="1:11" ht="12.75">
      <c r="A557" s="57">
        <v>2</v>
      </c>
      <c r="B557" s="56" t="s">
        <v>333</v>
      </c>
      <c r="C557" s="57" t="s">
        <v>331</v>
      </c>
      <c r="D557" s="56"/>
      <c r="E557" s="56"/>
      <c r="F557" s="56"/>
      <c r="G557" s="56"/>
      <c r="H557" s="56"/>
      <c r="I557" s="56"/>
      <c r="J557" s="56"/>
      <c r="K557" s="56"/>
    </row>
    <row r="558" spans="1:11" ht="12.75">
      <c r="A558" s="57"/>
      <c r="B558" s="56" t="s">
        <v>332</v>
      </c>
      <c r="C558" s="57"/>
      <c r="D558" s="56"/>
      <c r="E558" s="56"/>
      <c r="F558" s="56"/>
      <c r="G558" s="56"/>
      <c r="H558" s="56"/>
      <c r="I558" s="56"/>
      <c r="J558" s="56"/>
      <c r="K558" s="56"/>
    </row>
    <row r="559" spans="1:11" ht="12.75">
      <c r="A559" s="57"/>
      <c r="B559" s="56"/>
      <c r="C559" s="57"/>
      <c r="D559" s="56"/>
      <c r="E559" s="56"/>
      <c r="F559" s="56"/>
      <c r="G559" s="56"/>
      <c r="H559" s="56"/>
      <c r="I559" s="56"/>
      <c r="J559" s="56"/>
      <c r="K559" s="56"/>
    </row>
    <row r="560" spans="1:11" ht="12.75">
      <c r="A560" s="57">
        <v>3</v>
      </c>
      <c r="B560" s="56" t="s">
        <v>334</v>
      </c>
      <c r="C560" s="57" t="s">
        <v>331</v>
      </c>
      <c r="D560" s="56"/>
      <c r="E560" s="56"/>
      <c r="F560" s="56"/>
      <c r="G560" s="56"/>
      <c r="H560" s="56"/>
      <c r="I560" s="56"/>
      <c r="J560" s="56"/>
      <c r="K560" s="56"/>
    </row>
    <row r="561" spans="1:11" ht="12.75">
      <c r="A561" s="57"/>
      <c r="B561" s="56" t="s">
        <v>332</v>
      </c>
      <c r="C561" s="57"/>
      <c r="D561" s="56"/>
      <c r="E561" s="56"/>
      <c r="F561" s="56"/>
      <c r="G561" s="56"/>
      <c r="H561" s="56"/>
      <c r="I561" s="56"/>
      <c r="J561" s="56"/>
      <c r="K561" s="56"/>
    </row>
    <row r="562" spans="1:11" ht="12.75">
      <c r="A562" s="57"/>
      <c r="B562" s="56"/>
      <c r="C562" s="57"/>
      <c r="D562" s="56"/>
      <c r="E562" s="56"/>
      <c r="F562" s="56"/>
      <c r="G562" s="56"/>
      <c r="H562" s="56"/>
      <c r="I562" s="56"/>
      <c r="J562" s="56"/>
      <c r="K562" s="56"/>
    </row>
    <row r="563" spans="1:11" ht="12.75">
      <c r="A563" s="57">
        <v>4</v>
      </c>
      <c r="B563" s="56" t="s">
        <v>335</v>
      </c>
      <c r="C563" s="57" t="s">
        <v>337</v>
      </c>
      <c r="D563" s="56"/>
      <c r="E563" s="56"/>
      <c r="F563" s="56"/>
      <c r="G563" s="56"/>
      <c r="H563" s="56"/>
      <c r="I563" s="56"/>
      <c r="J563" s="56"/>
      <c r="K563" s="56"/>
    </row>
    <row r="564" spans="1:11" ht="12.75">
      <c r="A564" s="57"/>
      <c r="B564" s="56" t="s">
        <v>332</v>
      </c>
      <c r="C564" s="57"/>
      <c r="D564" s="56"/>
      <c r="E564" s="56"/>
      <c r="F564" s="56"/>
      <c r="G564" s="56"/>
      <c r="H564" s="56"/>
      <c r="I564" s="56"/>
      <c r="J564" s="56"/>
      <c r="K564" s="56"/>
    </row>
    <row r="565" spans="1:11" ht="12.75">
      <c r="A565" s="57"/>
      <c r="B565" s="56"/>
      <c r="C565" s="57"/>
      <c r="D565" s="56"/>
      <c r="E565" s="56"/>
      <c r="F565" s="56"/>
      <c r="G565" s="56"/>
      <c r="H565" s="56"/>
      <c r="I565" s="56"/>
      <c r="J565" s="56"/>
      <c r="K565" s="56"/>
    </row>
    <row r="566" spans="1:11" ht="12.75">
      <c r="A566" s="57">
        <v>5</v>
      </c>
      <c r="B566" s="56" t="s">
        <v>336</v>
      </c>
      <c r="C566" s="57" t="s">
        <v>338</v>
      </c>
      <c r="D566" s="56"/>
      <c r="E566" s="56"/>
      <c r="F566" s="56"/>
      <c r="G566" s="56"/>
      <c r="H566" s="56"/>
      <c r="I566" s="56"/>
      <c r="J566" s="56"/>
      <c r="K566" s="56"/>
    </row>
    <row r="567" spans="1:11" ht="12.75">
      <c r="A567" s="56"/>
      <c r="B567" s="56" t="s">
        <v>332</v>
      </c>
      <c r="C567" s="57"/>
      <c r="D567" s="56"/>
      <c r="E567" s="56"/>
      <c r="F567" s="56"/>
      <c r="G567" s="56"/>
      <c r="H567" s="56"/>
      <c r="I567" s="56"/>
      <c r="J567" s="56"/>
      <c r="K567" s="56"/>
    </row>
    <row r="568" spans="1:11" ht="12.7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</row>
    <row r="569" spans="1:11" ht="12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</row>
    <row r="570" spans="1:11" ht="12.75">
      <c r="A570" s="54"/>
      <c r="B570" s="54" t="s">
        <v>339</v>
      </c>
      <c r="C570" s="54"/>
      <c r="D570" s="54"/>
      <c r="E570" s="54"/>
      <c r="F570" s="54"/>
      <c r="G570" s="54"/>
      <c r="H570" s="54"/>
      <c r="I570" s="54"/>
      <c r="J570" s="54" t="s">
        <v>247</v>
      </c>
      <c r="K570" s="54"/>
    </row>
    <row r="588" spans="1:11" ht="12.75">
      <c r="A588" s="54"/>
      <c r="B588" s="54" t="s">
        <v>315</v>
      </c>
      <c r="C588" s="54"/>
      <c r="D588" s="54"/>
      <c r="E588" s="54"/>
      <c r="F588" s="54"/>
      <c r="G588" s="54"/>
      <c r="H588" s="54" t="s">
        <v>316</v>
      </c>
      <c r="I588" s="54"/>
      <c r="J588" s="54"/>
      <c r="K588" s="54"/>
    </row>
    <row r="589" spans="1:11" ht="12.75">
      <c r="A589" s="54"/>
      <c r="B589" s="54"/>
      <c r="C589" s="54"/>
      <c r="D589" s="54" t="s">
        <v>329</v>
      </c>
      <c r="E589" s="54"/>
      <c r="F589" s="54"/>
      <c r="G589" s="54"/>
      <c r="H589" s="54"/>
      <c r="I589" s="54"/>
      <c r="J589" s="54"/>
      <c r="K589" s="54"/>
    </row>
    <row r="590" spans="1:11" ht="12.75">
      <c r="A590" s="54"/>
      <c r="B590" s="54"/>
      <c r="C590" s="54"/>
      <c r="D590" s="54"/>
      <c r="E590" s="54"/>
      <c r="F590" s="54"/>
      <c r="G590" s="54"/>
      <c r="H590" s="54"/>
      <c r="I590" s="54"/>
      <c r="J590" s="58" t="s">
        <v>341</v>
      </c>
      <c r="K590" s="58"/>
    </row>
    <row r="591" spans="1:11" ht="12.75">
      <c r="A591" s="209" t="s">
        <v>0</v>
      </c>
      <c r="B591" s="209" t="s">
        <v>317</v>
      </c>
      <c r="C591" s="209" t="s">
        <v>318</v>
      </c>
      <c r="D591" s="209" t="s">
        <v>319</v>
      </c>
      <c r="E591" s="212" t="s">
        <v>320</v>
      </c>
      <c r="F591" s="213"/>
      <c r="G591" s="213"/>
      <c r="H591" s="213"/>
      <c r="I591" s="214"/>
      <c r="J591" s="209" t="s">
        <v>326</v>
      </c>
      <c r="K591" s="209" t="s">
        <v>327</v>
      </c>
    </row>
    <row r="592" spans="1:11" ht="12.75">
      <c r="A592" s="210"/>
      <c r="B592" s="210"/>
      <c r="C592" s="210"/>
      <c r="D592" s="210"/>
      <c r="E592" s="212" t="s">
        <v>321</v>
      </c>
      <c r="F592" s="214"/>
      <c r="G592" s="212" t="s">
        <v>322</v>
      </c>
      <c r="H592" s="214"/>
      <c r="I592" s="209" t="s">
        <v>325</v>
      </c>
      <c r="J592" s="210"/>
      <c r="K592" s="210"/>
    </row>
    <row r="593" spans="1:11" ht="56.25">
      <c r="A593" s="211"/>
      <c r="B593" s="211"/>
      <c r="C593" s="211"/>
      <c r="D593" s="211"/>
      <c r="E593" s="55" t="s">
        <v>328</v>
      </c>
      <c r="F593" s="55" t="s">
        <v>328</v>
      </c>
      <c r="G593" s="55" t="s">
        <v>323</v>
      </c>
      <c r="H593" s="55" t="s">
        <v>324</v>
      </c>
      <c r="I593" s="211"/>
      <c r="J593" s="211"/>
      <c r="K593" s="211"/>
    </row>
    <row r="594" spans="1:11" ht="12.75">
      <c r="A594" s="53">
        <v>1</v>
      </c>
      <c r="B594" s="53">
        <v>2</v>
      </c>
      <c r="C594" s="53">
        <v>3</v>
      </c>
      <c r="D594" s="53">
        <v>4</v>
      </c>
      <c r="E594" s="53">
        <v>5</v>
      </c>
      <c r="F594" s="53">
        <v>6</v>
      </c>
      <c r="G594" s="53">
        <v>7</v>
      </c>
      <c r="H594" s="53">
        <v>8</v>
      </c>
      <c r="I594" s="53">
        <v>9</v>
      </c>
      <c r="J594" s="53">
        <v>10</v>
      </c>
      <c r="K594" s="53">
        <v>11</v>
      </c>
    </row>
    <row r="595" spans="1:11" ht="12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</row>
    <row r="596" spans="1:11" ht="12.75">
      <c r="A596" s="57">
        <v>1</v>
      </c>
      <c r="B596" s="56" t="s">
        <v>330</v>
      </c>
      <c r="C596" s="57" t="s">
        <v>331</v>
      </c>
      <c r="D596" s="56"/>
      <c r="E596" s="56"/>
      <c r="F596" s="56"/>
      <c r="G596" s="56"/>
      <c r="H596" s="56"/>
      <c r="I596" s="56"/>
      <c r="J596" s="56"/>
      <c r="K596" s="56"/>
    </row>
    <row r="597" spans="1:11" ht="12.75">
      <c r="A597" s="57"/>
      <c r="B597" s="56" t="s">
        <v>332</v>
      </c>
      <c r="C597" s="57"/>
      <c r="D597" s="56"/>
      <c r="E597" s="56"/>
      <c r="F597" s="56"/>
      <c r="G597" s="56"/>
      <c r="H597" s="56"/>
      <c r="I597" s="56"/>
      <c r="J597" s="56"/>
      <c r="K597" s="56"/>
    </row>
    <row r="598" spans="1:11" ht="12.75">
      <c r="A598" s="57"/>
      <c r="B598" s="56"/>
      <c r="C598" s="54"/>
      <c r="D598" s="56"/>
      <c r="E598" s="56"/>
      <c r="F598" s="56"/>
      <c r="G598" s="56"/>
      <c r="H598" s="56"/>
      <c r="I598" s="56"/>
      <c r="J598" s="56"/>
      <c r="K598" s="56"/>
    </row>
    <row r="599" spans="1:11" ht="12.75">
      <c r="A599" s="57">
        <v>2</v>
      </c>
      <c r="B599" s="56" t="s">
        <v>333</v>
      </c>
      <c r="C599" s="57" t="s">
        <v>331</v>
      </c>
      <c r="D599" s="56"/>
      <c r="E599" s="56"/>
      <c r="F599" s="56"/>
      <c r="G599" s="56"/>
      <c r="H599" s="56"/>
      <c r="I599" s="56"/>
      <c r="J599" s="56"/>
      <c r="K599" s="56"/>
    </row>
    <row r="600" spans="1:11" ht="12.75">
      <c r="A600" s="57"/>
      <c r="B600" s="56" t="s">
        <v>332</v>
      </c>
      <c r="C600" s="57"/>
      <c r="D600" s="56"/>
      <c r="E600" s="56"/>
      <c r="F600" s="56"/>
      <c r="G600" s="56"/>
      <c r="H600" s="56"/>
      <c r="I600" s="56"/>
      <c r="J600" s="56"/>
      <c r="K600" s="56"/>
    </row>
    <row r="601" spans="1:11" ht="12.75">
      <c r="A601" s="57"/>
      <c r="B601" s="56"/>
      <c r="C601" s="57"/>
      <c r="D601" s="56"/>
      <c r="E601" s="56"/>
      <c r="F601" s="56"/>
      <c r="G601" s="56"/>
      <c r="H601" s="56"/>
      <c r="I601" s="56"/>
      <c r="J601" s="56"/>
      <c r="K601" s="56"/>
    </row>
    <row r="602" spans="1:11" ht="12.75">
      <c r="A602" s="57">
        <v>3</v>
      </c>
      <c r="B602" s="56" t="s">
        <v>334</v>
      </c>
      <c r="C602" s="57" t="s">
        <v>331</v>
      </c>
      <c r="D602" s="56"/>
      <c r="E602" s="56"/>
      <c r="F602" s="56"/>
      <c r="G602" s="56"/>
      <c r="H602" s="56"/>
      <c r="I602" s="56"/>
      <c r="J602" s="56"/>
      <c r="K602" s="56"/>
    </row>
    <row r="603" spans="1:11" ht="12.75">
      <c r="A603" s="57"/>
      <c r="B603" s="56" t="s">
        <v>332</v>
      </c>
      <c r="C603" s="57"/>
      <c r="D603" s="56"/>
      <c r="E603" s="56"/>
      <c r="F603" s="56"/>
      <c r="G603" s="56"/>
      <c r="H603" s="56"/>
      <c r="I603" s="56"/>
      <c r="J603" s="56"/>
      <c r="K603" s="56"/>
    </row>
    <row r="604" spans="1:11" ht="12.75">
      <c r="A604" s="57"/>
      <c r="B604" s="56"/>
      <c r="C604" s="57"/>
      <c r="D604" s="56"/>
      <c r="E604" s="56"/>
      <c r="F604" s="56"/>
      <c r="G604" s="56"/>
      <c r="H604" s="56"/>
      <c r="I604" s="56"/>
      <c r="J604" s="56"/>
      <c r="K604" s="56"/>
    </row>
    <row r="605" spans="1:11" ht="12.75">
      <c r="A605" s="57">
        <v>4</v>
      </c>
      <c r="B605" s="56" t="s">
        <v>335</v>
      </c>
      <c r="C605" s="57" t="s">
        <v>337</v>
      </c>
      <c r="D605" s="56"/>
      <c r="E605" s="56"/>
      <c r="F605" s="56"/>
      <c r="G605" s="56"/>
      <c r="H605" s="56"/>
      <c r="I605" s="56"/>
      <c r="J605" s="56"/>
      <c r="K605" s="56"/>
    </row>
    <row r="606" spans="1:11" ht="12.75">
      <c r="A606" s="57"/>
      <c r="B606" s="56" t="s">
        <v>332</v>
      </c>
      <c r="C606" s="57"/>
      <c r="D606" s="56"/>
      <c r="E606" s="56"/>
      <c r="F606" s="56"/>
      <c r="G606" s="56"/>
      <c r="H606" s="56"/>
      <c r="I606" s="56"/>
      <c r="J606" s="56"/>
      <c r="K606" s="56"/>
    </row>
    <row r="607" spans="1:11" ht="12.75">
      <c r="A607" s="57"/>
      <c r="B607" s="56"/>
      <c r="C607" s="57"/>
      <c r="D607" s="56"/>
      <c r="E607" s="56"/>
      <c r="F607" s="56"/>
      <c r="G607" s="56"/>
      <c r="H607" s="56"/>
      <c r="I607" s="56"/>
      <c r="J607" s="56"/>
      <c r="K607" s="56"/>
    </row>
    <row r="608" spans="1:11" ht="12.75">
      <c r="A608" s="57">
        <v>5</v>
      </c>
      <c r="B608" s="56" t="s">
        <v>336</v>
      </c>
      <c r="C608" s="57" t="s">
        <v>338</v>
      </c>
      <c r="D608" s="56"/>
      <c r="E608" s="56"/>
      <c r="F608" s="56"/>
      <c r="G608" s="56"/>
      <c r="H608" s="56"/>
      <c r="I608" s="56"/>
      <c r="J608" s="56"/>
      <c r="K608" s="56"/>
    </row>
    <row r="609" spans="1:11" ht="12.75">
      <c r="A609" s="56"/>
      <c r="B609" s="56" t="s">
        <v>332</v>
      </c>
      <c r="C609" s="57"/>
      <c r="D609" s="56"/>
      <c r="E609" s="56"/>
      <c r="F609" s="56"/>
      <c r="G609" s="56"/>
      <c r="H609" s="56"/>
      <c r="I609" s="56"/>
      <c r="J609" s="56"/>
      <c r="K609" s="56"/>
    </row>
    <row r="610" spans="1:11" ht="12.7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</row>
    <row r="611" spans="1:11" ht="12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</row>
    <row r="612" spans="1:11" ht="12.75">
      <c r="A612" s="54"/>
      <c r="B612" s="54" t="s">
        <v>339</v>
      </c>
      <c r="C612" s="54"/>
      <c r="D612" s="54"/>
      <c r="E612" s="54"/>
      <c r="F612" s="54"/>
      <c r="G612" s="54"/>
      <c r="H612" s="54"/>
      <c r="I612" s="54"/>
      <c r="J612" s="54" t="s">
        <v>247</v>
      </c>
      <c r="K612" s="54"/>
    </row>
    <row r="630" spans="1:11" ht="12.75">
      <c r="A630" s="54"/>
      <c r="B630" s="54" t="s">
        <v>315</v>
      </c>
      <c r="C630" s="54"/>
      <c r="D630" s="54"/>
      <c r="E630" s="54"/>
      <c r="F630" s="54"/>
      <c r="G630" s="54"/>
      <c r="H630" s="54" t="s">
        <v>316</v>
      </c>
      <c r="I630" s="54"/>
      <c r="J630" s="54"/>
      <c r="K630" s="54"/>
    </row>
    <row r="631" spans="1:11" ht="12.75">
      <c r="A631" s="54"/>
      <c r="B631" s="54"/>
      <c r="C631" s="54"/>
      <c r="D631" s="54" t="s">
        <v>329</v>
      </c>
      <c r="E631" s="54"/>
      <c r="F631" s="54"/>
      <c r="G631" s="54"/>
      <c r="H631" s="54"/>
      <c r="I631" s="54"/>
      <c r="J631" s="54"/>
      <c r="K631" s="54"/>
    </row>
    <row r="632" spans="1:11" ht="12.75">
      <c r="A632" s="54"/>
      <c r="B632" s="54"/>
      <c r="C632" s="54"/>
      <c r="D632" s="54"/>
      <c r="E632" s="54"/>
      <c r="F632" s="54"/>
      <c r="G632" s="54"/>
      <c r="H632" s="54"/>
      <c r="I632" s="54"/>
      <c r="J632" s="58" t="s">
        <v>341</v>
      </c>
      <c r="K632" s="58"/>
    </row>
    <row r="633" spans="1:11" ht="12.75">
      <c r="A633" s="209" t="s">
        <v>0</v>
      </c>
      <c r="B633" s="209" t="s">
        <v>317</v>
      </c>
      <c r="C633" s="209" t="s">
        <v>318</v>
      </c>
      <c r="D633" s="209" t="s">
        <v>319</v>
      </c>
      <c r="E633" s="212" t="s">
        <v>320</v>
      </c>
      <c r="F633" s="213"/>
      <c r="G633" s="213"/>
      <c r="H633" s="213"/>
      <c r="I633" s="214"/>
      <c r="J633" s="209" t="s">
        <v>326</v>
      </c>
      <c r="K633" s="209" t="s">
        <v>327</v>
      </c>
    </row>
    <row r="634" spans="1:11" ht="12.75">
      <c r="A634" s="210"/>
      <c r="B634" s="210"/>
      <c r="C634" s="210"/>
      <c r="D634" s="210"/>
      <c r="E634" s="212" t="s">
        <v>321</v>
      </c>
      <c r="F634" s="214"/>
      <c r="G634" s="212" t="s">
        <v>322</v>
      </c>
      <c r="H634" s="214"/>
      <c r="I634" s="209" t="s">
        <v>325</v>
      </c>
      <c r="J634" s="210"/>
      <c r="K634" s="210"/>
    </row>
    <row r="635" spans="1:11" ht="56.25">
      <c r="A635" s="211"/>
      <c r="B635" s="211"/>
      <c r="C635" s="211"/>
      <c r="D635" s="211"/>
      <c r="E635" s="55" t="s">
        <v>328</v>
      </c>
      <c r="F635" s="55" t="s">
        <v>328</v>
      </c>
      <c r="G635" s="55" t="s">
        <v>323</v>
      </c>
      <c r="H635" s="55" t="s">
        <v>324</v>
      </c>
      <c r="I635" s="211"/>
      <c r="J635" s="211"/>
      <c r="K635" s="211"/>
    </row>
    <row r="636" spans="1:11" ht="12.75">
      <c r="A636" s="53">
        <v>1</v>
      </c>
      <c r="B636" s="53">
        <v>2</v>
      </c>
      <c r="C636" s="53">
        <v>3</v>
      </c>
      <c r="D636" s="53">
        <v>4</v>
      </c>
      <c r="E636" s="53">
        <v>5</v>
      </c>
      <c r="F636" s="53">
        <v>6</v>
      </c>
      <c r="G636" s="53">
        <v>7</v>
      </c>
      <c r="H636" s="53">
        <v>8</v>
      </c>
      <c r="I636" s="53">
        <v>9</v>
      </c>
      <c r="J636" s="53">
        <v>10</v>
      </c>
      <c r="K636" s="53">
        <v>11</v>
      </c>
    </row>
    <row r="637" spans="1:11" ht="12.7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</row>
    <row r="638" spans="1:11" ht="12.75">
      <c r="A638" s="57">
        <v>1</v>
      </c>
      <c r="B638" s="56" t="s">
        <v>330</v>
      </c>
      <c r="C638" s="57" t="s">
        <v>331</v>
      </c>
      <c r="D638" s="56"/>
      <c r="E638" s="56"/>
      <c r="F638" s="56"/>
      <c r="G638" s="56"/>
      <c r="H638" s="56"/>
      <c r="I638" s="56"/>
      <c r="J638" s="56"/>
      <c r="K638" s="56"/>
    </row>
    <row r="639" spans="1:11" ht="12.75">
      <c r="A639" s="57"/>
      <c r="B639" s="56" t="s">
        <v>332</v>
      </c>
      <c r="C639" s="57"/>
      <c r="D639" s="56"/>
      <c r="E639" s="56"/>
      <c r="F639" s="56"/>
      <c r="G639" s="56"/>
      <c r="H639" s="56"/>
      <c r="I639" s="56"/>
      <c r="J639" s="56"/>
      <c r="K639" s="56"/>
    </row>
    <row r="640" spans="1:11" ht="12.75">
      <c r="A640" s="57"/>
      <c r="B640" s="56"/>
      <c r="C640" s="54"/>
      <c r="D640" s="56"/>
      <c r="E640" s="56"/>
      <c r="F640" s="56"/>
      <c r="G640" s="56"/>
      <c r="H640" s="56"/>
      <c r="I640" s="56"/>
      <c r="J640" s="56"/>
      <c r="K640" s="56"/>
    </row>
    <row r="641" spans="1:11" ht="12.75">
      <c r="A641" s="57">
        <v>2</v>
      </c>
      <c r="B641" s="56" t="s">
        <v>333</v>
      </c>
      <c r="C641" s="57" t="s">
        <v>331</v>
      </c>
      <c r="D641" s="56"/>
      <c r="E641" s="56"/>
      <c r="F641" s="56"/>
      <c r="G641" s="56"/>
      <c r="H641" s="56"/>
      <c r="I641" s="56"/>
      <c r="J641" s="56"/>
      <c r="K641" s="56"/>
    </row>
    <row r="642" spans="1:11" ht="12.75">
      <c r="A642" s="57"/>
      <c r="B642" s="56" t="s">
        <v>332</v>
      </c>
      <c r="C642" s="57"/>
      <c r="D642" s="56"/>
      <c r="E642" s="56"/>
      <c r="F642" s="56"/>
      <c r="G642" s="56"/>
      <c r="H642" s="56"/>
      <c r="I642" s="56"/>
      <c r="J642" s="56"/>
      <c r="K642" s="56"/>
    </row>
    <row r="643" spans="1:11" ht="12.75">
      <c r="A643" s="57"/>
      <c r="B643" s="56"/>
      <c r="C643" s="57"/>
      <c r="D643" s="56"/>
      <c r="E643" s="56"/>
      <c r="F643" s="56"/>
      <c r="G643" s="56"/>
      <c r="H643" s="56"/>
      <c r="I643" s="56"/>
      <c r="J643" s="56"/>
      <c r="K643" s="56"/>
    </row>
    <row r="644" spans="1:11" ht="12.75">
      <c r="A644" s="57">
        <v>3</v>
      </c>
      <c r="B644" s="56" t="s">
        <v>334</v>
      </c>
      <c r="C644" s="57" t="s">
        <v>331</v>
      </c>
      <c r="D644" s="56"/>
      <c r="E644" s="56"/>
      <c r="F644" s="56"/>
      <c r="G644" s="56"/>
      <c r="H644" s="56"/>
      <c r="I644" s="56"/>
      <c r="J644" s="56"/>
      <c r="K644" s="56"/>
    </row>
    <row r="645" spans="1:11" ht="12.75">
      <c r="A645" s="57"/>
      <c r="B645" s="56" t="s">
        <v>332</v>
      </c>
      <c r="C645" s="57"/>
      <c r="D645" s="56"/>
      <c r="E645" s="56"/>
      <c r="F645" s="56"/>
      <c r="G645" s="56"/>
      <c r="H645" s="56"/>
      <c r="I645" s="56"/>
      <c r="J645" s="56"/>
      <c r="K645" s="56"/>
    </row>
    <row r="646" spans="1:11" ht="12.75">
      <c r="A646" s="57"/>
      <c r="B646" s="56"/>
      <c r="C646" s="57"/>
      <c r="D646" s="56"/>
      <c r="E646" s="56"/>
      <c r="F646" s="56"/>
      <c r="G646" s="56"/>
      <c r="H646" s="56"/>
      <c r="I646" s="56"/>
      <c r="J646" s="56"/>
      <c r="K646" s="56"/>
    </row>
    <row r="647" spans="1:11" ht="12.75">
      <c r="A647" s="57">
        <v>4</v>
      </c>
      <c r="B647" s="56" t="s">
        <v>335</v>
      </c>
      <c r="C647" s="57" t="s">
        <v>337</v>
      </c>
      <c r="D647" s="56"/>
      <c r="E647" s="56"/>
      <c r="F647" s="56"/>
      <c r="G647" s="56"/>
      <c r="H647" s="56"/>
      <c r="I647" s="56"/>
      <c r="J647" s="56"/>
      <c r="K647" s="56"/>
    </row>
    <row r="648" spans="1:11" ht="12.75">
      <c r="A648" s="57"/>
      <c r="B648" s="56" t="s">
        <v>332</v>
      </c>
      <c r="C648" s="57"/>
      <c r="D648" s="56"/>
      <c r="E648" s="56"/>
      <c r="F648" s="56"/>
      <c r="G648" s="56"/>
      <c r="H648" s="56"/>
      <c r="I648" s="56"/>
      <c r="J648" s="56"/>
      <c r="K648" s="56"/>
    </row>
    <row r="649" spans="1:11" ht="12.75">
      <c r="A649" s="57"/>
      <c r="B649" s="56"/>
      <c r="C649" s="57"/>
      <c r="D649" s="56"/>
      <c r="E649" s="56"/>
      <c r="F649" s="56"/>
      <c r="G649" s="56"/>
      <c r="H649" s="56"/>
      <c r="I649" s="56"/>
      <c r="J649" s="56"/>
      <c r="K649" s="56"/>
    </row>
    <row r="650" spans="1:11" ht="12.75">
      <c r="A650" s="57">
        <v>5</v>
      </c>
      <c r="B650" s="56" t="s">
        <v>336</v>
      </c>
      <c r="C650" s="57" t="s">
        <v>338</v>
      </c>
      <c r="D650" s="56"/>
      <c r="E650" s="56"/>
      <c r="F650" s="56"/>
      <c r="G650" s="56"/>
      <c r="H650" s="56"/>
      <c r="I650" s="56"/>
      <c r="J650" s="56"/>
      <c r="K650" s="56"/>
    </row>
    <row r="651" spans="1:11" ht="12.75">
      <c r="A651" s="56"/>
      <c r="B651" s="56" t="s">
        <v>332</v>
      </c>
      <c r="C651" s="57"/>
      <c r="D651" s="56"/>
      <c r="E651" s="56"/>
      <c r="F651" s="56"/>
      <c r="G651" s="56"/>
      <c r="H651" s="56"/>
      <c r="I651" s="56"/>
      <c r="J651" s="56"/>
      <c r="K651" s="56"/>
    </row>
    <row r="652" spans="1:11" ht="12.7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</row>
    <row r="653" spans="1:11" ht="12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</row>
    <row r="654" spans="1:11" ht="12.75">
      <c r="A654" s="54"/>
      <c r="B654" s="54" t="s">
        <v>339</v>
      </c>
      <c r="C654" s="54"/>
      <c r="D654" s="54"/>
      <c r="E654" s="54"/>
      <c r="F654" s="54"/>
      <c r="G654" s="54"/>
      <c r="H654" s="54"/>
      <c r="I654" s="54"/>
      <c r="J654" s="54" t="s">
        <v>247</v>
      </c>
      <c r="K654" s="54"/>
    </row>
    <row r="672" spans="1:11" ht="12.75">
      <c r="A672" s="54"/>
      <c r="B672" s="54" t="s">
        <v>315</v>
      </c>
      <c r="C672" s="54"/>
      <c r="D672" s="54"/>
      <c r="E672" s="54"/>
      <c r="F672" s="54"/>
      <c r="G672" s="54"/>
      <c r="H672" s="54" t="s">
        <v>316</v>
      </c>
      <c r="I672" s="54"/>
      <c r="J672" s="54"/>
      <c r="K672" s="54"/>
    </row>
    <row r="673" spans="1:11" ht="12.75">
      <c r="A673" s="54"/>
      <c r="B673" s="54"/>
      <c r="C673" s="54"/>
      <c r="D673" s="54" t="s">
        <v>329</v>
      </c>
      <c r="E673" s="54"/>
      <c r="F673" s="54"/>
      <c r="G673" s="54"/>
      <c r="H673" s="54"/>
      <c r="I673" s="54"/>
      <c r="J673" s="54"/>
      <c r="K673" s="54"/>
    </row>
    <row r="674" spans="1:11" ht="12.75">
      <c r="A674" s="54"/>
      <c r="B674" s="54"/>
      <c r="C674" s="54"/>
      <c r="D674" s="54"/>
      <c r="E674" s="54"/>
      <c r="F674" s="54"/>
      <c r="G674" s="54"/>
      <c r="H674" s="54"/>
      <c r="I674" s="54"/>
      <c r="J674" s="58" t="s">
        <v>341</v>
      </c>
      <c r="K674" s="58"/>
    </row>
    <row r="675" spans="1:11" ht="12.75">
      <c r="A675" s="209" t="s">
        <v>0</v>
      </c>
      <c r="B675" s="209" t="s">
        <v>317</v>
      </c>
      <c r="C675" s="209" t="s">
        <v>318</v>
      </c>
      <c r="D675" s="209" t="s">
        <v>319</v>
      </c>
      <c r="E675" s="212" t="s">
        <v>320</v>
      </c>
      <c r="F675" s="213"/>
      <c r="G675" s="213"/>
      <c r="H675" s="213"/>
      <c r="I675" s="214"/>
      <c r="J675" s="209" t="s">
        <v>326</v>
      </c>
      <c r="K675" s="209" t="s">
        <v>327</v>
      </c>
    </row>
    <row r="676" spans="1:11" ht="12.75">
      <c r="A676" s="210"/>
      <c r="B676" s="210"/>
      <c r="C676" s="210"/>
      <c r="D676" s="210"/>
      <c r="E676" s="212" t="s">
        <v>321</v>
      </c>
      <c r="F676" s="214"/>
      <c r="G676" s="212" t="s">
        <v>322</v>
      </c>
      <c r="H676" s="214"/>
      <c r="I676" s="209" t="s">
        <v>325</v>
      </c>
      <c r="J676" s="210"/>
      <c r="K676" s="210"/>
    </row>
    <row r="677" spans="1:11" ht="56.25">
      <c r="A677" s="211"/>
      <c r="B677" s="211"/>
      <c r="C677" s="211"/>
      <c r="D677" s="211"/>
      <c r="E677" s="55" t="s">
        <v>328</v>
      </c>
      <c r="F677" s="55" t="s">
        <v>328</v>
      </c>
      <c r="G677" s="55" t="s">
        <v>323</v>
      </c>
      <c r="H677" s="55" t="s">
        <v>324</v>
      </c>
      <c r="I677" s="211"/>
      <c r="J677" s="211"/>
      <c r="K677" s="211"/>
    </row>
    <row r="678" spans="1:11" ht="12.75">
      <c r="A678" s="53">
        <v>1</v>
      </c>
      <c r="B678" s="53">
        <v>2</v>
      </c>
      <c r="C678" s="53">
        <v>3</v>
      </c>
      <c r="D678" s="53">
        <v>4</v>
      </c>
      <c r="E678" s="53">
        <v>5</v>
      </c>
      <c r="F678" s="53">
        <v>6</v>
      </c>
      <c r="G678" s="53">
        <v>7</v>
      </c>
      <c r="H678" s="53">
        <v>8</v>
      </c>
      <c r="I678" s="53">
        <v>9</v>
      </c>
      <c r="J678" s="53">
        <v>10</v>
      </c>
      <c r="K678" s="53">
        <v>11</v>
      </c>
    </row>
    <row r="679" spans="1:11" ht="12.7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</row>
    <row r="680" spans="1:11" ht="12.75">
      <c r="A680" s="57">
        <v>1</v>
      </c>
      <c r="B680" s="56" t="s">
        <v>330</v>
      </c>
      <c r="C680" s="57" t="s">
        <v>331</v>
      </c>
      <c r="D680" s="56"/>
      <c r="E680" s="56"/>
      <c r="F680" s="56"/>
      <c r="G680" s="56"/>
      <c r="H680" s="56"/>
      <c r="I680" s="56"/>
      <c r="J680" s="56"/>
      <c r="K680" s="56"/>
    </row>
    <row r="681" spans="1:11" ht="12.75">
      <c r="A681" s="57"/>
      <c r="B681" s="56" t="s">
        <v>332</v>
      </c>
      <c r="C681" s="57"/>
      <c r="D681" s="56"/>
      <c r="E681" s="56"/>
      <c r="F681" s="56"/>
      <c r="G681" s="56"/>
      <c r="H681" s="56"/>
      <c r="I681" s="56"/>
      <c r="J681" s="56"/>
      <c r="K681" s="56"/>
    </row>
    <row r="682" spans="1:11" ht="12.75">
      <c r="A682" s="57"/>
      <c r="B682" s="56"/>
      <c r="C682" s="54"/>
      <c r="D682" s="56"/>
      <c r="E682" s="56"/>
      <c r="F682" s="56"/>
      <c r="G682" s="56"/>
      <c r="H682" s="56"/>
      <c r="I682" s="56"/>
      <c r="J682" s="56"/>
      <c r="K682" s="56"/>
    </row>
    <row r="683" spans="1:11" ht="12.75">
      <c r="A683" s="57">
        <v>2</v>
      </c>
      <c r="B683" s="56" t="s">
        <v>333</v>
      </c>
      <c r="C683" s="57" t="s">
        <v>331</v>
      </c>
      <c r="D683" s="56"/>
      <c r="E683" s="56"/>
      <c r="F683" s="56"/>
      <c r="G683" s="56"/>
      <c r="H683" s="56"/>
      <c r="I683" s="56"/>
      <c r="J683" s="56"/>
      <c r="K683" s="56"/>
    </row>
    <row r="684" spans="1:11" ht="12.75">
      <c r="A684" s="57"/>
      <c r="B684" s="56" t="s">
        <v>332</v>
      </c>
      <c r="C684" s="57"/>
      <c r="D684" s="56"/>
      <c r="E684" s="56"/>
      <c r="F684" s="56"/>
      <c r="G684" s="56"/>
      <c r="H684" s="56"/>
      <c r="I684" s="56"/>
      <c r="J684" s="56"/>
      <c r="K684" s="56"/>
    </row>
    <row r="685" spans="1:11" ht="12.75">
      <c r="A685" s="57"/>
      <c r="B685" s="56"/>
      <c r="C685" s="57"/>
      <c r="D685" s="56"/>
      <c r="E685" s="56"/>
      <c r="F685" s="56"/>
      <c r="G685" s="56"/>
      <c r="H685" s="56"/>
      <c r="I685" s="56"/>
      <c r="J685" s="56"/>
      <c r="K685" s="56"/>
    </row>
    <row r="686" spans="1:11" ht="12.75">
      <c r="A686" s="57">
        <v>3</v>
      </c>
      <c r="B686" s="56" t="s">
        <v>334</v>
      </c>
      <c r="C686" s="57" t="s">
        <v>331</v>
      </c>
      <c r="D686" s="56"/>
      <c r="E686" s="56"/>
      <c r="F686" s="56"/>
      <c r="G686" s="56"/>
      <c r="H686" s="56"/>
      <c r="I686" s="56"/>
      <c r="J686" s="56"/>
      <c r="K686" s="56"/>
    </row>
    <row r="687" spans="1:11" ht="12.75">
      <c r="A687" s="57"/>
      <c r="B687" s="56" t="s">
        <v>332</v>
      </c>
      <c r="C687" s="57"/>
      <c r="D687" s="56"/>
      <c r="E687" s="56"/>
      <c r="F687" s="56"/>
      <c r="G687" s="56"/>
      <c r="H687" s="56"/>
      <c r="I687" s="56"/>
      <c r="J687" s="56"/>
      <c r="K687" s="56"/>
    </row>
    <row r="688" spans="1:11" ht="12.75">
      <c r="A688" s="57"/>
      <c r="B688" s="56"/>
      <c r="C688" s="57"/>
      <c r="D688" s="56"/>
      <c r="E688" s="56"/>
      <c r="F688" s="56"/>
      <c r="G688" s="56"/>
      <c r="H688" s="56"/>
      <c r="I688" s="56"/>
      <c r="J688" s="56"/>
      <c r="K688" s="56"/>
    </row>
    <row r="689" spans="1:11" ht="12.75">
      <c r="A689" s="57">
        <v>4</v>
      </c>
      <c r="B689" s="56" t="s">
        <v>335</v>
      </c>
      <c r="C689" s="57" t="s">
        <v>337</v>
      </c>
      <c r="D689" s="56"/>
      <c r="E689" s="56"/>
      <c r="F689" s="56"/>
      <c r="G689" s="56"/>
      <c r="H689" s="56"/>
      <c r="I689" s="56"/>
      <c r="J689" s="56"/>
      <c r="K689" s="56"/>
    </row>
    <row r="690" spans="1:11" ht="12.75">
      <c r="A690" s="57"/>
      <c r="B690" s="56" t="s">
        <v>332</v>
      </c>
      <c r="C690" s="57"/>
      <c r="D690" s="56"/>
      <c r="E690" s="56"/>
      <c r="F690" s="56"/>
      <c r="G690" s="56"/>
      <c r="H690" s="56"/>
      <c r="I690" s="56"/>
      <c r="J690" s="56"/>
      <c r="K690" s="56"/>
    </row>
    <row r="691" spans="1:11" ht="12.75">
      <c r="A691" s="57"/>
      <c r="B691" s="56"/>
      <c r="C691" s="57"/>
      <c r="D691" s="56"/>
      <c r="E691" s="56"/>
      <c r="F691" s="56"/>
      <c r="G691" s="56"/>
      <c r="H691" s="56"/>
      <c r="I691" s="56"/>
      <c r="J691" s="56"/>
      <c r="K691" s="56"/>
    </row>
    <row r="692" spans="1:11" ht="12.75">
      <c r="A692" s="57">
        <v>5</v>
      </c>
      <c r="B692" s="56" t="s">
        <v>336</v>
      </c>
      <c r="C692" s="57" t="s">
        <v>338</v>
      </c>
      <c r="D692" s="56"/>
      <c r="E692" s="56"/>
      <c r="F692" s="56"/>
      <c r="G692" s="56"/>
      <c r="H692" s="56"/>
      <c r="I692" s="56"/>
      <c r="J692" s="56"/>
      <c r="K692" s="56"/>
    </row>
    <row r="693" spans="1:11" ht="12.75">
      <c r="A693" s="56"/>
      <c r="B693" s="56" t="s">
        <v>332</v>
      </c>
      <c r="C693" s="57"/>
      <c r="D693" s="56"/>
      <c r="E693" s="56"/>
      <c r="F693" s="56"/>
      <c r="G693" s="56"/>
      <c r="H693" s="56"/>
      <c r="I693" s="56"/>
      <c r="J693" s="56"/>
      <c r="K693" s="56"/>
    </row>
    <row r="694" spans="1:11" ht="12.7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</row>
    <row r="695" spans="1:11" ht="12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</row>
    <row r="696" spans="1:11" ht="12.75">
      <c r="A696" s="54"/>
      <c r="B696" s="54" t="s">
        <v>339</v>
      </c>
      <c r="C696" s="54"/>
      <c r="D696" s="54"/>
      <c r="E696" s="54"/>
      <c r="F696" s="54"/>
      <c r="G696" s="54"/>
      <c r="H696" s="54"/>
      <c r="I696" s="54"/>
      <c r="J696" s="54" t="s">
        <v>247</v>
      </c>
      <c r="K696" s="54"/>
    </row>
    <row r="714" spans="1:11" ht="12.75">
      <c r="A714" s="54"/>
      <c r="B714" s="54" t="s">
        <v>315</v>
      </c>
      <c r="C714" s="54"/>
      <c r="D714" s="54"/>
      <c r="E714" s="54"/>
      <c r="F714" s="54"/>
      <c r="G714" s="54"/>
      <c r="H714" s="54" t="s">
        <v>316</v>
      </c>
      <c r="I714" s="54"/>
      <c r="J714" s="54"/>
      <c r="K714" s="54"/>
    </row>
    <row r="715" spans="1:11" ht="12.75">
      <c r="A715" s="54"/>
      <c r="B715" s="54"/>
      <c r="C715" s="54"/>
      <c r="D715" s="54" t="s">
        <v>329</v>
      </c>
      <c r="E715" s="54"/>
      <c r="F715" s="54"/>
      <c r="G715" s="54"/>
      <c r="H715" s="54"/>
      <c r="I715" s="54"/>
      <c r="J715" s="54"/>
      <c r="K715" s="54"/>
    </row>
    <row r="716" spans="1:11" ht="12.75">
      <c r="A716" s="54"/>
      <c r="B716" s="54"/>
      <c r="C716" s="54"/>
      <c r="D716" s="54"/>
      <c r="E716" s="54"/>
      <c r="F716" s="54"/>
      <c r="G716" s="54"/>
      <c r="H716" s="54"/>
      <c r="I716" s="54"/>
      <c r="J716" s="58" t="s">
        <v>341</v>
      </c>
      <c r="K716" s="58"/>
    </row>
    <row r="717" spans="1:11" ht="12.75">
      <c r="A717" s="209" t="s">
        <v>0</v>
      </c>
      <c r="B717" s="209" t="s">
        <v>317</v>
      </c>
      <c r="C717" s="209" t="s">
        <v>318</v>
      </c>
      <c r="D717" s="209" t="s">
        <v>319</v>
      </c>
      <c r="E717" s="212" t="s">
        <v>320</v>
      </c>
      <c r="F717" s="213"/>
      <c r="G717" s="213"/>
      <c r="H717" s="213"/>
      <c r="I717" s="214"/>
      <c r="J717" s="209" t="s">
        <v>326</v>
      </c>
      <c r="K717" s="209" t="s">
        <v>327</v>
      </c>
    </row>
    <row r="718" spans="1:11" ht="12.75">
      <c r="A718" s="210"/>
      <c r="B718" s="210"/>
      <c r="C718" s="210"/>
      <c r="D718" s="210"/>
      <c r="E718" s="212" t="s">
        <v>321</v>
      </c>
      <c r="F718" s="214"/>
      <c r="G718" s="212" t="s">
        <v>322</v>
      </c>
      <c r="H718" s="214"/>
      <c r="I718" s="209" t="s">
        <v>325</v>
      </c>
      <c r="J718" s="210"/>
      <c r="K718" s="210"/>
    </row>
    <row r="719" spans="1:11" ht="56.25">
      <c r="A719" s="211"/>
      <c r="B719" s="211"/>
      <c r="C719" s="211"/>
      <c r="D719" s="211"/>
      <c r="E719" s="55" t="s">
        <v>328</v>
      </c>
      <c r="F719" s="55" t="s">
        <v>328</v>
      </c>
      <c r="G719" s="55" t="s">
        <v>323</v>
      </c>
      <c r="H719" s="55" t="s">
        <v>324</v>
      </c>
      <c r="I719" s="211"/>
      <c r="J719" s="211"/>
      <c r="K719" s="211"/>
    </row>
    <row r="720" spans="1:11" ht="12.75">
      <c r="A720" s="53">
        <v>1</v>
      </c>
      <c r="B720" s="53">
        <v>2</v>
      </c>
      <c r="C720" s="53">
        <v>3</v>
      </c>
      <c r="D720" s="53">
        <v>4</v>
      </c>
      <c r="E720" s="53">
        <v>5</v>
      </c>
      <c r="F720" s="53">
        <v>6</v>
      </c>
      <c r="G720" s="53">
        <v>7</v>
      </c>
      <c r="H720" s="53">
        <v>8</v>
      </c>
      <c r="I720" s="53">
        <v>9</v>
      </c>
      <c r="J720" s="53">
        <v>10</v>
      </c>
      <c r="K720" s="53">
        <v>11</v>
      </c>
    </row>
    <row r="721" spans="1:11" ht="12.7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</row>
    <row r="722" spans="1:11" ht="12.75">
      <c r="A722" s="57">
        <v>1</v>
      </c>
      <c r="B722" s="56" t="s">
        <v>330</v>
      </c>
      <c r="C722" s="57" t="s">
        <v>331</v>
      </c>
      <c r="D722" s="56"/>
      <c r="E722" s="56"/>
      <c r="F722" s="56"/>
      <c r="G722" s="56"/>
      <c r="H722" s="56"/>
      <c r="I722" s="56"/>
      <c r="J722" s="56"/>
      <c r="K722" s="56"/>
    </row>
    <row r="723" spans="1:11" ht="12.75">
      <c r="A723" s="57"/>
      <c r="B723" s="56" t="s">
        <v>332</v>
      </c>
      <c r="C723" s="57"/>
      <c r="D723" s="56"/>
      <c r="E723" s="56"/>
      <c r="F723" s="56"/>
      <c r="G723" s="56"/>
      <c r="H723" s="56"/>
      <c r="I723" s="56"/>
      <c r="J723" s="56"/>
      <c r="K723" s="56"/>
    </row>
    <row r="724" spans="1:11" ht="12.75">
      <c r="A724" s="57"/>
      <c r="B724" s="56"/>
      <c r="C724" s="54"/>
      <c r="D724" s="56"/>
      <c r="E724" s="56"/>
      <c r="F724" s="56"/>
      <c r="G724" s="56"/>
      <c r="H724" s="56"/>
      <c r="I724" s="56"/>
      <c r="J724" s="56"/>
      <c r="K724" s="56"/>
    </row>
    <row r="725" spans="1:11" ht="12.75">
      <c r="A725" s="57">
        <v>2</v>
      </c>
      <c r="B725" s="56" t="s">
        <v>333</v>
      </c>
      <c r="C725" s="57" t="s">
        <v>331</v>
      </c>
      <c r="D725" s="56"/>
      <c r="E725" s="56"/>
      <c r="F725" s="56"/>
      <c r="G725" s="56"/>
      <c r="H725" s="56"/>
      <c r="I725" s="56"/>
      <c r="J725" s="56"/>
      <c r="K725" s="56"/>
    </row>
    <row r="726" spans="1:11" ht="12.75">
      <c r="A726" s="57"/>
      <c r="B726" s="56" t="s">
        <v>332</v>
      </c>
      <c r="C726" s="57"/>
      <c r="D726" s="56"/>
      <c r="E726" s="56"/>
      <c r="F726" s="56"/>
      <c r="G726" s="56"/>
      <c r="H726" s="56"/>
      <c r="I726" s="56"/>
      <c r="J726" s="56"/>
      <c r="K726" s="56"/>
    </row>
    <row r="727" spans="1:11" ht="12.75">
      <c r="A727" s="57"/>
      <c r="B727" s="56"/>
      <c r="C727" s="57"/>
      <c r="D727" s="56"/>
      <c r="E727" s="56"/>
      <c r="F727" s="56"/>
      <c r="G727" s="56"/>
      <c r="H727" s="56"/>
      <c r="I727" s="56"/>
      <c r="J727" s="56"/>
      <c r="K727" s="56"/>
    </row>
    <row r="728" spans="1:11" ht="12.75">
      <c r="A728" s="57">
        <v>3</v>
      </c>
      <c r="B728" s="56" t="s">
        <v>334</v>
      </c>
      <c r="C728" s="57" t="s">
        <v>331</v>
      </c>
      <c r="D728" s="56"/>
      <c r="E728" s="56"/>
      <c r="F728" s="56"/>
      <c r="G728" s="56"/>
      <c r="H728" s="56"/>
      <c r="I728" s="56"/>
      <c r="J728" s="56"/>
      <c r="K728" s="56"/>
    </row>
    <row r="729" spans="1:11" ht="12.75">
      <c r="A729" s="57"/>
      <c r="B729" s="56" t="s">
        <v>332</v>
      </c>
      <c r="C729" s="57"/>
      <c r="D729" s="56"/>
      <c r="E729" s="56"/>
      <c r="F729" s="56"/>
      <c r="G729" s="56"/>
      <c r="H729" s="56"/>
      <c r="I729" s="56"/>
      <c r="J729" s="56"/>
      <c r="K729" s="56"/>
    </row>
    <row r="730" spans="1:11" ht="12.75">
      <c r="A730" s="57"/>
      <c r="B730" s="56"/>
      <c r="C730" s="57"/>
      <c r="D730" s="56"/>
      <c r="E730" s="56"/>
      <c r="F730" s="56"/>
      <c r="G730" s="56"/>
      <c r="H730" s="56"/>
      <c r="I730" s="56"/>
      <c r="J730" s="56"/>
      <c r="K730" s="56"/>
    </row>
    <row r="731" spans="1:11" ht="12.75">
      <c r="A731" s="57">
        <v>4</v>
      </c>
      <c r="B731" s="56" t="s">
        <v>335</v>
      </c>
      <c r="C731" s="57" t="s">
        <v>337</v>
      </c>
      <c r="D731" s="56"/>
      <c r="E731" s="56"/>
      <c r="F731" s="56"/>
      <c r="G731" s="56"/>
      <c r="H731" s="56"/>
      <c r="I731" s="56"/>
      <c r="J731" s="56"/>
      <c r="K731" s="56"/>
    </row>
    <row r="732" spans="1:11" ht="12.75">
      <c r="A732" s="57"/>
      <c r="B732" s="56" t="s">
        <v>332</v>
      </c>
      <c r="C732" s="57"/>
      <c r="D732" s="56"/>
      <c r="E732" s="56"/>
      <c r="F732" s="56"/>
      <c r="G732" s="56"/>
      <c r="H732" s="56"/>
      <c r="I732" s="56"/>
      <c r="J732" s="56"/>
      <c r="K732" s="56"/>
    </row>
    <row r="733" spans="1:11" ht="12.75">
      <c r="A733" s="57"/>
      <c r="B733" s="56"/>
      <c r="C733" s="57"/>
      <c r="D733" s="56"/>
      <c r="E733" s="56"/>
      <c r="F733" s="56"/>
      <c r="G733" s="56"/>
      <c r="H733" s="56"/>
      <c r="I733" s="56"/>
      <c r="J733" s="56"/>
      <c r="K733" s="56"/>
    </row>
    <row r="734" spans="1:11" ht="12.75">
      <c r="A734" s="57">
        <v>5</v>
      </c>
      <c r="B734" s="56" t="s">
        <v>336</v>
      </c>
      <c r="C734" s="57" t="s">
        <v>338</v>
      </c>
      <c r="D734" s="56"/>
      <c r="E734" s="56"/>
      <c r="F734" s="56"/>
      <c r="G734" s="56"/>
      <c r="H734" s="56"/>
      <c r="I734" s="56"/>
      <c r="J734" s="56"/>
      <c r="K734" s="56"/>
    </row>
    <row r="735" spans="1:11" ht="12.75">
      <c r="A735" s="56"/>
      <c r="B735" s="56" t="s">
        <v>332</v>
      </c>
      <c r="C735" s="57"/>
      <c r="D735" s="56"/>
      <c r="E735" s="56"/>
      <c r="F735" s="56"/>
      <c r="G735" s="56"/>
      <c r="H735" s="56"/>
      <c r="I735" s="56"/>
      <c r="J735" s="56"/>
      <c r="K735" s="56"/>
    </row>
    <row r="736" spans="1:11" ht="12.7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</row>
    <row r="737" spans="1:11" ht="12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</row>
    <row r="738" spans="1:11" ht="12.75">
      <c r="A738" s="54"/>
      <c r="B738" s="54" t="s">
        <v>339</v>
      </c>
      <c r="C738" s="54"/>
      <c r="D738" s="54"/>
      <c r="E738" s="54"/>
      <c r="F738" s="54"/>
      <c r="G738" s="54"/>
      <c r="H738" s="54"/>
      <c r="I738" s="54"/>
      <c r="J738" s="54" t="s">
        <v>247</v>
      </c>
      <c r="K738" s="54"/>
    </row>
    <row r="756" spans="1:11" ht="12.75">
      <c r="A756" s="54"/>
      <c r="B756" s="54" t="s">
        <v>315</v>
      </c>
      <c r="C756" s="54"/>
      <c r="D756" s="54"/>
      <c r="E756" s="54"/>
      <c r="F756" s="54"/>
      <c r="G756" s="54"/>
      <c r="H756" s="54" t="s">
        <v>316</v>
      </c>
      <c r="I756" s="54"/>
      <c r="J756" s="54"/>
      <c r="K756" s="54"/>
    </row>
    <row r="757" spans="1:11" ht="12.75">
      <c r="A757" s="54"/>
      <c r="B757" s="54"/>
      <c r="C757" s="54"/>
      <c r="D757" s="54" t="s">
        <v>329</v>
      </c>
      <c r="E757" s="54"/>
      <c r="F757" s="54"/>
      <c r="G757" s="54"/>
      <c r="H757" s="54"/>
      <c r="I757" s="54"/>
      <c r="J757" s="54"/>
      <c r="K757" s="54"/>
    </row>
    <row r="758" spans="1:11" ht="12.75">
      <c r="A758" s="54"/>
      <c r="B758" s="54"/>
      <c r="C758" s="54"/>
      <c r="D758" s="54"/>
      <c r="E758" s="54"/>
      <c r="F758" s="54"/>
      <c r="G758" s="54"/>
      <c r="H758" s="54"/>
      <c r="I758" s="54"/>
      <c r="J758" s="58" t="s">
        <v>341</v>
      </c>
      <c r="K758" s="58"/>
    </row>
    <row r="759" spans="1:11" ht="12.75">
      <c r="A759" s="209" t="s">
        <v>0</v>
      </c>
      <c r="B759" s="209" t="s">
        <v>317</v>
      </c>
      <c r="C759" s="209" t="s">
        <v>318</v>
      </c>
      <c r="D759" s="209" t="s">
        <v>319</v>
      </c>
      <c r="E759" s="212" t="s">
        <v>320</v>
      </c>
      <c r="F759" s="213"/>
      <c r="G759" s="213"/>
      <c r="H759" s="213"/>
      <c r="I759" s="214"/>
      <c r="J759" s="209" t="s">
        <v>326</v>
      </c>
      <c r="K759" s="209" t="s">
        <v>327</v>
      </c>
    </row>
    <row r="760" spans="1:11" ht="12.75">
      <c r="A760" s="210"/>
      <c r="B760" s="210"/>
      <c r="C760" s="210"/>
      <c r="D760" s="210"/>
      <c r="E760" s="212" t="s">
        <v>321</v>
      </c>
      <c r="F760" s="214"/>
      <c r="G760" s="212" t="s">
        <v>322</v>
      </c>
      <c r="H760" s="214"/>
      <c r="I760" s="209" t="s">
        <v>325</v>
      </c>
      <c r="J760" s="210"/>
      <c r="K760" s="210"/>
    </row>
    <row r="761" spans="1:11" ht="56.25">
      <c r="A761" s="211"/>
      <c r="B761" s="211"/>
      <c r="C761" s="211"/>
      <c r="D761" s="211"/>
      <c r="E761" s="55" t="s">
        <v>328</v>
      </c>
      <c r="F761" s="55" t="s">
        <v>328</v>
      </c>
      <c r="G761" s="55" t="s">
        <v>323</v>
      </c>
      <c r="H761" s="55" t="s">
        <v>324</v>
      </c>
      <c r="I761" s="211"/>
      <c r="J761" s="211"/>
      <c r="K761" s="211"/>
    </row>
    <row r="762" spans="1:11" ht="12.75">
      <c r="A762" s="53">
        <v>1</v>
      </c>
      <c r="B762" s="53">
        <v>2</v>
      </c>
      <c r="C762" s="53">
        <v>3</v>
      </c>
      <c r="D762" s="53">
        <v>4</v>
      </c>
      <c r="E762" s="53">
        <v>5</v>
      </c>
      <c r="F762" s="53">
        <v>6</v>
      </c>
      <c r="G762" s="53">
        <v>7</v>
      </c>
      <c r="H762" s="53">
        <v>8</v>
      </c>
      <c r="I762" s="53">
        <v>9</v>
      </c>
      <c r="J762" s="53">
        <v>10</v>
      </c>
      <c r="K762" s="53">
        <v>11</v>
      </c>
    </row>
    <row r="763" spans="1:11" ht="12.7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</row>
    <row r="764" spans="1:11" ht="12.75">
      <c r="A764" s="57">
        <v>1</v>
      </c>
      <c r="B764" s="56" t="s">
        <v>330</v>
      </c>
      <c r="C764" s="57" t="s">
        <v>331</v>
      </c>
      <c r="D764" s="56"/>
      <c r="E764" s="56"/>
      <c r="F764" s="56"/>
      <c r="G764" s="56"/>
      <c r="H764" s="56"/>
      <c r="I764" s="56"/>
      <c r="J764" s="56"/>
      <c r="K764" s="56"/>
    </row>
    <row r="765" spans="1:11" ht="12.75">
      <c r="A765" s="57"/>
      <c r="B765" s="56" t="s">
        <v>332</v>
      </c>
      <c r="C765" s="57"/>
      <c r="D765" s="56"/>
      <c r="E765" s="56"/>
      <c r="F765" s="56"/>
      <c r="G765" s="56"/>
      <c r="H765" s="56"/>
      <c r="I765" s="56"/>
      <c r="J765" s="56"/>
      <c r="K765" s="56"/>
    </row>
    <row r="766" spans="1:11" ht="12.75">
      <c r="A766" s="57"/>
      <c r="B766" s="56"/>
      <c r="C766" s="54"/>
      <c r="D766" s="56"/>
      <c r="E766" s="56"/>
      <c r="F766" s="56"/>
      <c r="G766" s="56"/>
      <c r="H766" s="56"/>
      <c r="I766" s="56"/>
      <c r="J766" s="56"/>
      <c r="K766" s="56"/>
    </row>
    <row r="767" spans="1:11" ht="12.75">
      <c r="A767" s="57">
        <v>2</v>
      </c>
      <c r="B767" s="56" t="s">
        <v>333</v>
      </c>
      <c r="C767" s="57" t="s">
        <v>331</v>
      </c>
      <c r="D767" s="56"/>
      <c r="E767" s="56"/>
      <c r="F767" s="56"/>
      <c r="G767" s="56"/>
      <c r="H767" s="56"/>
      <c r="I767" s="56"/>
      <c r="J767" s="56"/>
      <c r="K767" s="56"/>
    </row>
    <row r="768" spans="1:11" ht="12.75">
      <c r="A768" s="57"/>
      <c r="B768" s="56" t="s">
        <v>332</v>
      </c>
      <c r="C768" s="57"/>
      <c r="D768" s="56"/>
      <c r="E768" s="56"/>
      <c r="F768" s="56"/>
      <c r="G768" s="56"/>
      <c r="H768" s="56"/>
      <c r="I768" s="56"/>
      <c r="J768" s="56"/>
      <c r="K768" s="56"/>
    </row>
    <row r="769" spans="1:11" ht="12.75">
      <c r="A769" s="57"/>
      <c r="B769" s="56"/>
      <c r="C769" s="57"/>
      <c r="D769" s="56"/>
      <c r="E769" s="56"/>
      <c r="F769" s="56"/>
      <c r="G769" s="56"/>
      <c r="H769" s="56"/>
      <c r="I769" s="56"/>
      <c r="J769" s="56"/>
      <c r="K769" s="56"/>
    </row>
    <row r="770" spans="1:11" ht="12.75">
      <c r="A770" s="57">
        <v>3</v>
      </c>
      <c r="B770" s="56" t="s">
        <v>334</v>
      </c>
      <c r="C770" s="57" t="s">
        <v>331</v>
      </c>
      <c r="D770" s="56"/>
      <c r="E770" s="56"/>
      <c r="F770" s="56"/>
      <c r="G770" s="56"/>
      <c r="H770" s="56"/>
      <c r="I770" s="56"/>
      <c r="J770" s="56"/>
      <c r="K770" s="56"/>
    </row>
    <row r="771" spans="1:11" ht="12.75">
      <c r="A771" s="57"/>
      <c r="B771" s="56" t="s">
        <v>332</v>
      </c>
      <c r="C771" s="57"/>
      <c r="D771" s="56"/>
      <c r="E771" s="56"/>
      <c r="F771" s="56"/>
      <c r="G771" s="56"/>
      <c r="H771" s="56"/>
      <c r="I771" s="56"/>
      <c r="J771" s="56"/>
      <c r="K771" s="56"/>
    </row>
    <row r="772" spans="1:11" ht="12.75">
      <c r="A772" s="57"/>
      <c r="B772" s="56"/>
      <c r="C772" s="57"/>
      <c r="D772" s="56"/>
      <c r="E772" s="56"/>
      <c r="F772" s="56"/>
      <c r="G772" s="56"/>
      <c r="H772" s="56"/>
      <c r="I772" s="56"/>
      <c r="J772" s="56"/>
      <c r="K772" s="56"/>
    </row>
    <row r="773" spans="1:11" ht="12.75">
      <c r="A773" s="57">
        <v>4</v>
      </c>
      <c r="B773" s="56" t="s">
        <v>335</v>
      </c>
      <c r="C773" s="57" t="s">
        <v>337</v>
      </c>
      <c r="D773" s="56"/>
      <c r="E773" s="56"/>
      <c r="F773" s="56"/>
      <c r="G773" s="56"/>
      <c r="H773" s="56"/>
      <c r="I773" s="56"/>
      <c r="J773" s="56"/>
      <c r="K773" s="56"/>
    </row>
    <row r="774" spans="1:11" ht="12.75">
      <c r="A774" s="57"/>
      <c r="B774" s="56" t="s">
        <v>332</v>
      </c>
      <c r="C774" s="57"/>
      <c r="D774" s="56"/>
      <c r="E774" s="56"/>
      <c r="F774" s="56"/>
      <c r="G774" s="56"/>
      <c r="H774" s="56"/>
      <c r="I774" s="56"/>
      <c r="J774" s="56"/>
      <c r="K774" s="56"/>
    </row>
    <row r="775" spans="1:11" ht="12.75">
      <c r="A775" s="57"/>
      <c r="B775" s="56"/>
      <c r="C775" s="57"/>
      <c r="D775" s="56"/>
      <c r="E775" s="56"/>
      <c r="F775" s="56"/>
      <c r="G775" s="56"/>
      <c r="H775" s="56"/>
      <c r="I775" s="56"/>
      <c r="J775" s="56"/>
      <c r="K775" s="56"/>
    </row>
    <row r="776" spans="1:11" ht="12.75">
      <c r="A776" s="57">
        <v>5</v>
      </c>
      <c r="B776" s="56" t="s">
        <v>336</v>
      </c>
      <c r="C776" s="57" t="s">
        <v>338</v>
      </c>
      <c r="D776" s="56"/>
      <c r="E776" s="56"/>
      <c r="F776" s="56"/>
      <c r="G776" s="56"/>
      <c r="H776" s="56"/>
      <c r="I776" s="56"/>
      <c r="J776" s="56"/>
      <c r="K776" s="56"/>
    </row>
    <row r="777" spans="1:11" ht="12.75">
      <c r="A777" s="56"/>
      <c r="B777" s="56" t="s">
        <v>332</v>
      </c>
      <c r="C777" s="57"/>
      <c r="D777" s="56"/>
      <c r="E777" s="56"/>
      <c r="F777" s="56"/>
      <c r="G777" s="56"/>
      <c r="H777" s="56"/>
      <c r="I777" s="56"/>
      <c r="J777" s="56"/>
      <c r="K777" s="56"/>
    </row>
    <row r="778" spans="1:11" ht="12.7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</row>
    <row r="779" spans="1:11" ht="12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</row>
    <row r="780" spans="1:11" ht="12.75">
      <c r="A780" s="54"/>
      <c r="B780" s="54" t="s">
        <v>339</v>
      </c>
      <c r="C780" s="54"/>
      <c r="D780" s="54"/>
      <c r="E780" s="54"/>
      <c r="F780" s="54"/>
      <c r="G780" s="54"/>
      <c r="H780" s="54"/>
      <c r="I780" s="54"/>
      <c r="J780" s="54" t="s">
        <v>247</v>
      </c>
      <c r="K780" s="54"/>
    </row>
    <row r="798" spans="1:11" ht="12.75">
      <c r="A798" s="54"/>
      <c r="B798" s="54" t="s">
        <v>315</v>
      </c>
      <c r="C798" s="54"/>
      <c r="D798" s="54"/>
      <c r="E798" s="54"/>
      <c r="F798" s="54"/>
      <c r="G798" s="54"/>
      <c r="H798" s="54" t="s">
        <v>316</v>
      </c>
      <c r="I798" s="54"/>
      <c r="J798" s="54"/>
      <c r="K798" s="54"/>
    </row>
    <row r="799" spans="1:11" ht="12.75">
      <c r="A799" s="54"/>
      <c r="B799" s="54"/>
      <c r="C799" s="54"/>
      <c r="D799" s="54" t="s">
        <v>329</v>
      </c>
      <c r="E799" s="54"/>
      <c r="F799" s="54"/>
      <c r="G799" s="54"/>
      <c r="H799" s="54"/>
      <c r="I799" s="54"/>
      <c r="J799" s="54"/>
      <c r="K799" s="54"/>
    </row>
    <row r="800" spans="1:11" ht="12.75">
      <c r="A800" s="54"/>
      <c r="B800" s="54"/>
      <c r="C800" s="54"/>
      <c r="D800" s="54"/>
      <c r="E800" s="54"/>
      <c r="F800" s="54"/>
      <c r="G800" s="54"/>
      <c r="H800" s="54"/>
      <c r="I800" s="54"/>
      <c r="J800" s="58" t="s">
        <v>341</v>
      </c>
      <c r="K800" s="58"/>
    </row>
    <row r="801" spans="1:11" ht="12.75">
      <c r="A801" s="209" t="s">
        <v>0</v>
      </c>
      <c r="B801" s="209" t="s">
        <v>317</v>
      </c>
      <c r="C801" s="209" t="s">
        <v>318</v>
      </c>
      <c r="D801" s="209" t="s">
        <v>319</v>
      </c>
      <c r="E801" s="212" t="s">
        <v>320</v>
      </c>
      <c r="F801" s="213"/>
      <c r="G801" s="213"/>
      <c r="H801" s="213"/>
      <c r="I801" s="214"/>
      <c r="J801" s="209" t="s">
        <v>326</v>
      </c>
      <c r="K801" s="209" t="s">
        <v>327</v>
      </c>
    </row>
    <row r="802" spans="1:11" ht="12.75">
      <c r="A802" s="210"/>
      <c r="B802" s="210"/>
      <c r="C802" s="210"/>
      <c r="D802" s="210"/>
      <c r="E802" s="212" t="s">
        <v>321</v>
      </c>
      <c r="F802" s="214"/>
      <c r="G802" s="212" t="s">
        <v>322</v>
      </c>
      <c r="H802" s="214"/>
      <c r="I802" s="209" t="s">
        <v>325</v>
      </c>
      <c r="J802" s="210"/>
      <c r="K802" s="210"/>
    </row>
    <row r="803" spans="1:11" ht="56.25">
      <c r="A803" s="211"/>
      <c r="B803" s="211"/>
      <c r="C803" s="211"/>
      <c r="D803" s="211"/>
      <c r="E803" s="55" t="s">
        <v>328</v>
      </c>
      <c r="F803" s="55" t="s">
        <v>328</v>
      </c>
      <c r="G803" s="55" t="s">
        <v>323</v>
      </c>
      <c r="H803" s="55" t="s">
        <v>324</v>
      </c>
      <c r="I803" s="211"/>
      <c r="J803" s="211"/>
      <c r="K803" s="211"/>
    </row>
    <row r="804" spans="1:11" ht="12.75">
      <c r="A804" s="53">
        <v>1</v>
      </c>
      <c r="B804" s="53">
        <v>2</v>
      </c>
      <c r="C804" s="53">
        <v>3</v>
      </c>
      <c r="D804" s="53">
        <v>4</v>
      </c>
      <c r="E804" s="53">
        <v>5</v>
      </c>
      <c r="F804" s="53">
        <v>6</v>
      </c>
      <c r="G804" s="53">
        <v>7</v>
      </c>
      <c r="H804" s="53">
        <v>8</v>
      </c>
      <c r="I804" s="53">
        <v>9</v>
      </c>
      <c r="J804" s="53">
        <v>10</v>
      </c>
      <c r="K804" s="53">
        <v>11</v>
      </c>
    </row>
    <row r="805" spans="1:11" ht="12.7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</row>
    <row r="806" spans="1:11" ht="12.75">
      <c r="A806" s="57">
        <v>1</v>
      </c>
      <c r="B806" s="56" t="s">
        <v>330</v>
      </c>
      <c r="C806" s="57" t="s">
        <v>331</v>
      </c>
      <c r="D806" s="56"/>
      <c r="E806" s="56"/>
      <c r="F806" s="56"/>
      <c r="G806" s="56"/>
      <c r="H806" s="56"/>
      <c r="I806" s="56"/>
      <c r="J806" s="56"/>
      <c r="K806" s="56"/>
    </row>
    <row r="807" spans="1:11" ht="12.75">
      <c r="A807" s="57"/>
      <c r="B807" s="56" t="s">
        <v>332</v>
      </c>
      <c r="C807" s="57"/>
      <c r="D807" s="56"/>
      <c r="E807" s="56"/>
      <c r="F807" s="56"/>
      <c r="G807" s="56"/>
      <c r="H807" s="56"/>
      <c r="I807" s="56"/>
      <c r="J807" s="56"/>
      <c r="K807" s="56"/>
    </row>
    <row r="808" spans="1:11" ht="12.75">
      <c r="A808" s="57"/>
      <c r="B808" s="56"/>
      <c r="C808" s="54"/>
      <c r="D808" s="56"/>
      <c r="E808" s="56"/>
      <c r="F808" s="56"/>
      <c r="G808" s="56"/>
      <c r="H808" s="56"/>
      <c r="I808" s="56"/>
      <c r="J808" s="56"/>
      <c r="K808" s="56"/>
    </row>
    <row r="809" spans="1:11" ht="12.75">
      <c r="A809" s="57">
        <v>2</v>
      </c>
      <c r="B809" s="56" t="s">
        <v>333</v>
      </c>
      <c r="C809" s="57" t="s">
        <v>331</v>
      </c>
      <c r="D809" s="56"/>
      <c r="E809" s="56"/>
      <c r="F809" s="56"/>
      <c r="G809" s="56"/>
      <c r="H809" s="56"/>
      <c r="I809" s="56"/>
      <c r="J809" s="56"/>
      <c r="K809" s="56"/>
    </row>
    <row r="810" spans="1:11" ht="12.75">
      <c r="A810" s="57"/>
      <c r="B810" s="56" t="s">
        <v>332</v>
      </c>
      <c r="C810" s="57"/>
      <c r="D810" s="56"/>
      <c r="E810" s="56"/>
      <c r="F810" s="56"/>
      <c r="G810" s="56"/>
      <c r="H810" s="56"/>
      <c r="I810" s="56"/>
      <c r="J810" s="56"/>
      <c r="K810" s="56"/>
    </row>
    <row r="811" spans="1:11" ht="12.75">
      <c r="A811" s="57"/>
      <c r="B811" s="56"/>
      <c r="C811" s="57"/>
      <c r="D811" s="56"/>
      <c r="E811" s="56"/>
      <c r="F811" s="56"/>
      <c r="G811" s="56"/>
      <c r="H811" s="56"/>
      <c r="I811" s="56"/>
      <c r="J811" s="56"/>
      <c r="K811" s="56"/>
    </row>
    <row r="812" spans="1:11" ht="12.75">
      <c r="A812" s="57">
        <v>3</v>
      </c>
      <c r="B812" s="56" t="s">
        <v>334</v>
      </c>
      <c r="C812" s="57" t="s">
        <v>331</v>
      </c>
      <c r="D812" s="56"/>
      <c r="E812" s="56"/>
      <c r="F812" s="56"/>
      <c r="G812" s="56"/>
      <c r="H812" s="56"/>
      <c r="I812" s="56"/>
      <c r="J812" s="56"/>
      <c r="K812" s="56"/>
    </row>
    <row r="813" spans="1:11" ht="12.75">
      <c r="A813" s="57"/>
      <c r="B813" s="56" t="s">
        <v>332</v>
      </c>
      <c r="C813" s="57"/>
      <c r="D813" s="56"/>
      <c r="E813" s="56"/>
      <c r="F813" s="56"/>
      <c r="G813" s="56"/>
      <c r="H813" s="56"/>
      <c r="I813" s="56"/>
      <c r="J813" s="56"/>
      <c r="K813" s="56"/>
    </row>
    <row r="814" spans="1:11" ht="12.75">
      <c r="A814" s="57"/>
      <c r="B814" s="56"/>
      <c r="C814" s="57"/>
      <c r="D814" s="56"/>
      <c r="E814" s="56"/>
      <c r="F814" s="56"/>
      <c r="G814" s="56"/>
      <c r="H814" s="56"/>
      <c r="I814" s="56"/>
      <c r="J814" s="56"/>
      <c r="K814" s="56"/>
    </row>
    <row r="815" spans="1:11" ht="12.75">
      <c r="A815" s="57">
        <v>4</v>
      </c>
      <c r="B815" s="56" t="s">
        <v>335</v>
      </c>
      <c r="C815" s="57" t="s">
        <v>337</v>
      </c>
      <c r="D815" s="56"/>
      <c r="E815" s="56"/>
      <c r="F815" s="56"/>
      <c r="G815" s="56"/>
      <c r="H815" s="56"/>
      <c r="I815" s="56"/>
      <c r="J815" s="56"/>
      <c r="K815" s="56"/>
    </row>
    <row r="816" spans="1:11" ht="12.75">
      <c r="A816" s="57"/>
      <c r="B816" s="56" t="s">
        <v>332</v>
      </c>
      <c r="C816" s="57"/>
      <c r="D816" s="56"/>
      <c r="E816" s="56"/>
      <c r="F816" s="56"/>
      <c r="G816" s="56"/>
      <c r="H816" s="56"/>
      <c r="I816" s="56"/>
      <c r="J816" s="56"/>
      <c r="K816" s="56"/>
    </row>
    <row r="817" spans="1:11" ht="12.75">
      <c r="A817" s="57"/>
      <c r="B817" s="56"/>
      <c r="C817" s="57"/>
      <c r="D817" s="56"/>
      <c r="E817" s="56"/>
      <c r="F817" s="56"/>
      <c r="G817" s="56"/>
      <c r="H817" s="56"/>
      <c r="I817" s="56"/>
      <c r="J817" s="56"/>
      <c r="K817" s="56"/>
    </row>
    <row r="818" spans="1:11" ht="12.75">
      <c r="A818" s="57">
        <v>5</v>
      </c>
      <c r="B818" s="56" t="s">
        <v>336</v>
      </c>
      <c r="C818" s="57" t="s">
        <v>338</v>
      </c>
      <c r="D818" s="56"/>
      <c r="E818" s="56"/>
      <c r="F818" s="56"/>
      <c r="G818" s="56"/>
      <c r="H818" s="56"/>
      <c r="I818" s="56"/>
      <c r="J818" s="56"/>
      <c r="K818" s="56"/>
    </row>
    <row r="819" spans="1:11" ht="12.75">
      <c r="A819" s="56"/>
      <c r="B819" s="56" t="s">
        <v>332</v>
      </c>
      <c r="C819" s="57"/>
      <c r="D819" s="56"/>
      <c r="E819" s="56"/>
      <c r="F819" s="56"/>
      <c r="G819" s="56"/>
      <c r="H819" s="56"/>
      <c r="I819" s="56"/>
      <c r="J819" s="56"/>
      <c r="K819" s="56"/>
    </row>
    <row r="820" spans="1:11" ht="12.7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</row>
    <row r="821" spans="1:11" ht="12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</row>
    <row r="822" spans="1:11" ht="12.75">
      <c r="A822" s="54"/>
      <c r="B822" s="54" t="s">
        <v>339</v>
      </c>
      <c r="C822" s="54"/>
      <c r="D822" s="54"/>
      <c r="E822" s="54"/>
      <c r="F822" s="54"/>
      <c r="G822" s="54"/>
      <c r="H822" s="54"/>
      <c r="I822" s="54"/>
      <c r="J822" s="54" t="s">
        <v>247</v>
      </c>
      <c r="K822" s="54"/>
    </row>
    <row r="840" spans="1:11" ht="12.75">
      <c r="A840" s="54"/>
      <c r="B840" s="54" t="s">
        <v>315</v>
      </c>
      <c r="C840" s="54"/>
      <c r="D840" s="54"/>
      <c r="E840" s="54"/>
      <c r="F840" s="54"/>
      <c r="G840" s="54"/>
      <c r="H840" s="54" t="s">
        <v>316</v>
      </c>
      <c r="I840" s="54"/>
      <c r="J840" s="54"/>
      <c r="K840" s="54"/>
    </row>
    <row r="841" spans="1:11" ht="12.75">
      <c r="A841" s="54"/>
      <c r="B841" s="54"/>
      <c r="C841" s="54"/>
      <c r="D841" s="54" t="s">
        <v>329</v>
      </c>
      <c r="E841" s="54"/>
      <c r="F841" s="54"/>
      <c r="G841" s="54"/>
      <c r="H841" s="54"/>
      <c r="I841" s="54"/>
      <c r="J841" s="54"/>
      <c r="K841" s="54"/>
    </row>
    <row r="842" spans="1:11" ht="12.75">
      <c r="A842" s="54"/>
      <c r="B842" s="54"/>
      <c r="C842" s="54"/>
      <c r="D842" s="54"/>
      <c r="E842" s="54"/>
      <c r="F842" s="54"/>
      <c r="G842" s="54"/>
      <c r="H842" s="54"/>
      <c r="I842" s="54"/>
      <c r="J842" s="58" t="s">
        <v>341</v>
      </c>
      <c r="K842" s="58"/>
    </row>
    <row r="843" spans="1:11" ht="12.75">
      <c r="A843" s="209" t="s">
        <v>0</v>
      </c>
      <c r="B843" s="209" t="s">
        <v>317</v>
      </c>
      <c r="C843" s="209" t="s">
        <v>318</v>
      </c>
      <c r="D843" s="209" t="s">
        <v>319</v>
      </c>
      <c r="E843" s="212" t="s">
        <v>320</v>
      </c>
      <c r="F843" s="213"/>
      <c r="G843" s="213"/>
      <c r="H843" s="213"/>
      <c r="I843" s="214"/>
      <c r="J843" s="209" t="s">
        <v>326</v>
      </c>
      <c r="K843" s="209" t="s">
        <v>327</v>
      </c>
    </row>
    <row r="844" spans="1:11" ht="12.75">
      <c r="A844" s="210"/>
      <c r="B844" s="210"/>
      <c r="C844" s="210"/>
      <c r="D844" s="210"/>
      <c r="E844" s="212" t="s">
        <v>321</v>
      </c>
      <c r="F844" s="214"/>
      <c r="G844" s="212" t="s">
        <v>322</v>
      </c>
      <c r="H844" s="214"/>
      <c r="I844" s="209" t="s">
        <v>325</v>
      </c>
      <c r="J844" s="210"/>
      <c r="K844" s="210"/>
    </row>
    <row r="845" spans="1:11" ht="56.25">
      <c r="A845" s="211"/>
      <c r="B845" s="211"/>
      <c r="C845" s="211"/>
      <c r="D845" s="211"/>
      <c r="E845" s="55" t="s">
        <v>328</v>
      </c>
      <c r="F845" s="55" t="s">
        <v>328</v>
      </c>
      <c r="G845" s="55" t="s">
        <v>323</v>
      </c>
      <c r="H845" s="55" t="s">
        <v>324</v>
      </c>
      <c r="I845" s="211"/>
      <c r="J845" s="211"/>
      <c r="K845" s="211"/>
    </row>
    <row r="846" spans="1:11" ht="12.75">
      <c r="A846" s="53">
        <v>1</v>
      </c>
      <c r="B846" s="53">
        <v>2</v>
      </c>
      <c r="C846" s="53">
        <v>3</v>
      </c>
      <c r="D846" s="53">
        <v>4</v>
      </c>
      <c r="E846" s="53">
        <v>5</v>
      </c>
      <c r="F846" s="53">
        <v>6</v>
      </c>
      <c r="G846" s="53">
        <v>7</v>
      </c>
      <c r="H846" s="53">
        <v>8</v>
      </c>
      <c r="I846" s="53">
        <v>9</v>
      </c>
      <c r="J846" s="53">
        <v>10</v>
      </c>
      <c r="K846" s="53">
        <v>11</v>
      </c>
    </row>
    <row r="847" spans="1:11" ht="12.7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</row>
    <row r="848" spans="1:11" ht="12.75">
      <c r="A848" s="57">
        <v>1</v>
      </c>
      <c r="B848" s="56" t="s">
        <v>330</v>
      </c>
      <c r="C848" s="57" t="s">
        <v>331</v>
      </c>
      <c r="D848" s="56"/>
      <c r="E848" s="56"/>
      <c r="F848" s="56"/>
      <c r="G848" s="56"/>
      <c r="H848" s="56"/>
      <c r="I848" s="56"/>
      <c r="J848" s="56"/>
      <c r="K848" s="56"/>
    </row>
    <row r="849" spans="1:11" ht="12.75">
      <c r="A849" s="57"/>
      <c r="B849" s="56" t="s">
        <v>332</v>
      </c>
      <c r="C849" s="57"/>
      <c r="D849" s="56"/>
      <c r="E849" s="56"/>
      <c r="F849" s="56"/>
      <c r="G849" s="56"/>
      <c r="H849" s="56"/>
      <c r="I849" s="56"/>
      <c r="J849" s="56"/>
      <c r="K849" s="56"/>
    </row>
    <row r="850" spans="1:11" ht="12.75">
      <c r="A850" s="57"/>
      <c r="B850" s="56"/>
      <c r="C850" s="54"/>
      <c r="D850" s="56"/>
      <c r="E850" s="56"/>
      <c r="F850" s="56"/>
      <c r="G850" s="56"/>
      <c r="H850" s="56"/>
      <c r="I850" s="56"/>
      <c r="J850" s="56"/>
      <c r="K850" s="56"/>
    </row>
    <row r="851" spans="1:11" ht="12.75">
      <c r="A851" s="57">
        <v>2</v>
      </c>
      <c r="B851" s="56" t="s">
        <v>333</v>
      </c>
      <c r="C851" s="57" t="s">
        <v>331</v>
      </c>
      <c r="D851" s="56"/>
      <c r="E851" s="56"/>
      <c r="F851" s="56"/>
      <c r="G851" s="56"/>
      <c r="H851" s="56"/>
      <c r="I851" s="56"/>
      <c r="J851" s="56"/>
      <c r="K851" s="56"/>
    </row>
    <row r="852" spans="1:11" ht="12.75">
      <c r="A852" s="57"/>
      <c r="B852" s="56" t="s">
        <v>332</v>
      </c>
      <c r="C852" s="57"/>
      <c r="D852" s="56"/>
      <c r="E852" s="56"/>
      <c r="F852" s="56"/>
      <c r="G852" s="56"/>
      <c r="H852" s="56"/>
      <c r="I852" s="56"/>
      <c r="J852" s="56"/>
      <c r="K852" s="56"/>
    </row>
    <row r="853" spans="1:11" ht="12.75">
      <c r="A853" s="57"/>
      <c r="B853" s="56"/>
      <c r="C853" s="57"/>
      <c r="D853" s="56"/>
      <c r="E853" s="56"/>
      <c r="F853" s="56"/>
      <c r="G853" s="56"/>
      <c r="H853" s="56"/>
      <c r="I853" s="56"/>
      <c r="J853" s="56"/>
      <c r="K853" s="56"/>
    </row>
    <row r="854" spans="1:11" ht="12.75">
      <c r="A854" s="57">
        <v>3</v>
      </c>
      <c r="B854" s="56" t="s">
        <v>334</v>
      </c>
      <c r="C854" s="57" t="s">
        <v>331</v>
      </c>
      <c r="D854" s="56"/>
      <c r="E854" s="56"/>
      <c r="F854" s="56"/>
      <c r="G854" s="56"/>
      <c r="H854" s="56"/>
      <c r="I854" s="56"/>
      <c r="J854" s="56"/>
      <c r="K854" s="56"/>
    </row>
    <row r="855" spans="1:11" ht="12.75">
      <c r="A855" s="57"/>
      <c r="B855" s="56" t="s">
        <v>332</v>
      </c>
      <c r="C855" s="57"/>
      <c r="D855" s="56"/>
      <c r="E855" s="56"/>
      <c r="F855" s="56"/>
      <c r="G855" s="56"/>
      <c r="H855" s="56"/>
      <c r="I855" s="56"/>
      <c r="J855" s="56"/>
      <c r="K855" s="56"/>
    </row>
    <row r="856" spans="1:11" ht="12.75">
      <c r="A856" s="57"/>
      <c r="B856" s="56"/>
      <c r="C856" s="57"/>
      <c r="D856" s="56"/>
      <c r="E856" s="56"/>
      <c r="F856" s="56"/>
      <c r="G856" s="56"/>
      <c r="H856" s="56"/>
      <c r="I856" s="56"/>
      <c r="J856" s="56"/>
      <c r="K856" s="56"/>
    </row>
    <row r="857" spans="1:11" ht="12.75">
      <c r="A857" s="57">
        <v>4</v>
      </c>
      <c r="B857" s="56" t="s">
        <v>335</v>
      </c>
      <c r="C857" s="57" t="s">
        <v>337</v>
      </c>
      <c r="D857" s="56"/>
      <c r="E857" s="56"/>
      <c r="F857" s="56"/>
      <c r="G857" s="56"/>
      <c r="H857" s="56"/>
      <c r="I857" s="56"/>
      <c r="J857" s="56"/>
      <c r="K857" s="56"/>
    </row>
    <row r="858" spans="1:11" ht="12.75">
      <c r="A858" s="57"/>
      <c r="B858" s="56" t="s">
        <v>332</v>
      </c>
      <c r="C858" s="57"/>
      <c r="D858" s="56"/>
      <c r="E858" s="56"/>
      <c r="F858" s="56"/>
      <c r="G858" s="56"/>
      <c r="H858" s="56"/>
      <c r="I858" s="56"/>
      <c r="J858" s="56"/>
      <c r="K858" s="56"/>
    </row>
    <row r="859" spans="1:11" ht="12.75">
      <c r="A859" s="57"/>
      <c r="B859" s="56"/>
      <c r="C859" s="57"/>
      <c r="D859" s="56"/>
      <c r="E859" s="56"/>
      <c r="F859" s="56"/>
      <c r="G859" s="56"/>
      <c r="H859" s="56"/>
      <c r="I859" s="56"/>
      <c r="J859" s="56"/>
      <c r="K859" s="56"/>
    </row>
    <row r="860" spans="1:11" ht="12.75">
      <c r="A860" s="57">
        <v>5</v>
      </c>
      <c r="B860" s="56" t="s">
        <v>336</v>
      </c>
      <c r="C860" s="57" t="s">
        <v>338</v>
      </c>
      <c r="D860" s="56"/>
      <c r="E860" s="56"/>
      <c r="F860" s="56"/>
      <c r="G860" s="56"/>
      <c r="H860" s="56"/>
      <c r="I860" s="56"/>
      <c r="J860" s="56"/>
      <c r="K860" s="56"/>
    </row>
    <row r="861" spans="1:11" ht="12.75">
      <c r="A861" s="56"/>
      <c r="B861" s="56" t="s">
        <v>332</v>
      </c>
      <c r="C861" s="57"/>
      <c r="D861" s="56"/>
      <c r="E861" s="56"/>
      <c r="F861" s="56"/>
      <c r="G861" s="56"/>
      <c r="H861" s="56"/>
      <c r="I861" s="56"/>
      <c r="J861" s="56"/>
      <c r="K861" s="56"/>
    </row>
    <row r="862" spans="1:11" ht="12.7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</row>
    <row r="863" spans="1:11" ht="12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</row>
    <row r="864" spans="1:11" ht="12.75">
      <c r="A864" s="54"/>
      <c r="B864" s="54" t="s">
        <v>339</v>
      </c>
      <c r="C864" s="54"/>
      <c r="D864" s="54"/>
      <c r="E864" s="54"/>
      <c r="F864" s="54"/>
      <c r="G864" s="54"/>
      <c r="H864" s="54"/>
      <c r="I864" s="54"/>
      <c r="J864" s="54" t="s">
        <v>247</v>
      </c>
      <c r="K864" s="54"/>
    </row>
    <row r="882" spans="1:11" ht="12.75">
      <c r="A882" s="54"/>
      <c r="B882" s="54" t="s">
        <v>315</v>
      </c>
      <c r="C882" s="54"/>
      <c r="D882" s="54"/>
      <c r="E882" s="54"/>
      <c r="F882" s="54"/>
      <c r="G882" s="54"/>
      <c r="H882" s="54" t="s">
        <v>316</v>
      </c>
      <c r="I882" s="54"/>
      <c r="J882" s="54"/>
      <c r="K882" s="54"/>
    </row>
    <row r="883" spans="1:11" ht="12.75">
      <c r="A883" s="54"/>
      <c r="B883" s="54"/>
      <c r="C883" s="54"/>
      <c r="D883" s="54" t="s">
        <v>329</v>
      </c>
      <c r="E883" s="54"/>
      <c r="F883" s="54"/>
      <c r="G883" s="54"/>
      <c r="H883" s="54"/>
      <c r="I883" s="54"/>
      <c r="J883" s="54"/>
      <c r="K883" s="54"/>
    </row>
    <row r="884" spans="1:11" ht="12.75">
      <c r="A884" s="54"/>
      <c r="B884" s="54"/>
      <c r="C884" s="54"/>
      <c r="D884" s="54"/>
      <c r="E884" s="54"/>
      <c r="F884" s="54"/>
      <c r="G884" s="54"/>
      <c r="H884" s="54"/>
      <c r="I884" s="54"/>
      <c r="J884" s="58" t="s">
        <v>341</v>
      </c>
      <c r="K884" s="58"/>
    </row>
    <row r="885" spans="1:11" ht="12.75">
      <c r="A885" s="209" t="s">
        <v>0</v>
      </c>
      <c r="B885" s="209" t="s">
        <v>317</v>
      </c>
      <c r="C885" s="209" t="s">
        <v>318</v>
      </c>
      <c r="D885" s="209" t="s">
        <v>319</v>
      </c>
      <c r="E885" s="212" t="s">
        <v>320</v>
      </c>
      <c r="F885" s="213"/>
      <c r="G885" s="213"/>
      <c r="H885" s="213"/>
      <c r="I885" s="214"/>
      <c r="J885" s="209" t="s">
        <v>326</v>
      </c>
      <c r="K885" s="209" t="s">
        <v>327</v>
      </c>
    </row>
    <row r="886" spans="1:11" ht="12.75">
      <c r="A886" s="210"/>
      <c r="B886" s="210"/>
      <c r="C886" s="210"/>
      <c r="D886" s="210"/>
      <c r="E886" s="212" t="s">
        <v>321</v>
      </c>
      <c r="F886" s="214"/>
      <c r="G886" s="212" t="s">
        <v>322</v>
      </c>
      <c r="H886" s="214"/>
      <c r="I886" s="209" t="s">
        <v>325</v>
      </c>
      <c r="J886" s="210"/>
      <c r="K886" s="210"/>
    </row>
    <row r="887" spans="1:11" ht="56.25">
      <c r="A887" s="211"/>
      <c r="B887" s="211"/>
      <c r="C887" s="211"/>
      <c r="D887" s="211"/>
      <c r="E887" s="55" t="s">
        <v>328</v>
      </c>
      <c r="F887" s="55" t="s">
        <v>328</v>
      </c>
      <c r="G887" s="55" t="s">
        <v>323</v>
      </c>
      <c r="H887" s="55" t="s">
        <v>324</v>
      </c>
      <c r="I887" s="211"/>
      <c r="J887" s="211"/>
      <c r="K887" s="211"/>
    </row>
    <row r="888" spans="1:11" ht="12.75">
      <c r="A888" s="53">
        <v>1</v>
      </c>
      <c r="B888" s="53">
        <v>2</v>
      </c>
      <c r="C888" s="53">
        <v>3</v>
      </c>
      <c r="D888" s="53">
        <v>4</v>
      </c>
      <c r="E888" s="53">
        <v>5</v>
      </c>
      <c r="F888" s="53">
        <v>6</v>
      </c>
      <c r="G888" s="53">
        <v>7</v>
      </c>
      <c r="H888" s="53">
        <v>8</v>
      </c>
      <c r="I888" s="53">
        <v>9</v>
      </c>
      <c r="J888" s="53">
        <v>10</v>
      </c>
      <c r="K888" s="53">
        <v>11</v>
      </c>
    </row>
    <row r="889" spans="1:11" ht="12.7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</row>
    <row r="890" spans="1:11" ht="12.75">
      <c r="A890" s="57">
        <v>1</v>
      </c>
      <c r="B890" s="56" t="s">
        <v>330</v>
      </c>
      <c r="C890" s="57" t="s">
        <v>331</v>
      </c>
      <c r="D890" s="56"/>
      <c r="E890" s="56"/>
      <c r="F890" s="56"/>
      <c r="G890" s="56"/>
      <c r="H890" s="56"/>
      <c r="I890" s="56"/>
      <c r="J890" s="56"/>
      <c r="K890" s="56"/>
    </row>
    <row r="891" spans="1:11" ht="12.75">
      <c r="A891" s="57"/>
      <c r="B891" s="56" t="s">
        <v>332</v>
      </c>
      <c r="C891" s="57"/>
      <c r="D891" s="56"/>
      <c r="E891" s="56"/>
      <c r="F891" s="56"/>
      <c r="G891" s="56"/>
      <c r="H891" s="56"/>
      <c r="I891" s="56"/>
      <c r="J891" s="56"/>
      <c r="K891" s="56"/>
    </row>
    <row r="892" spans="1:11" ht="12.75">
      <c r="A892" s="57"/>
      <c r="B892" s="56"/>
      <c r="C892" s="54"/>
      <c r="D892" s="56"/>
      <c r="E892" s="56"/>
      <c r="F892" s="56"/>
      <c r="G892" s="56"/>
      <c r="H892" s="56"/>
      <c r="I892" s="56"/>
      <c r="J892" s="56"/>
      <c r="K892" s="56"/>
    </row>
    <row r="893" spans="1:11" ht="12.75">
      <c r="A893" s="57">
        <v>2</v>
      </c>
      <c r="B893" s="56" t="s">
        <v>333</v>
      </c>
      <c r="C893" s="57" t="s">
        <v>331</v>
      </c>
      <c r="D893" s="56"/>
      <c r="E893" s="56"/>
      <c r="F893" s="56"/>
      <c r="G893" s="56"/>
      <c r="H893" s="56"/>
      <c r="I893" s="56"/>
      <c r="J893" s="56"/>
      <c r="K893" s="56"/>
    </row>
    <row r="894" spans="1:11" ht="12.75">
      <c r="A894" s="57"/>
      <c r="B894" s="56" t="s">
        <v>332</v>
      </c>
      <c r="C894" s="57"/>
      <c r="D894" s="56"/>
      <c r="E894" s="56"/>
      <c r="F894" s="56"/>
      <c r="G894" s="56"/>
      <c r="H894" s="56"/>
      <c r="I894" s="56"/>
      <c r="J894" s="56"/>
      <c r="K894" s="56"/>
    </row>
    <row r="895" spans="1:11" ht="12.75">
      <c r="A895" s="57"/>
      <c r="B895" s="56"/>
      <c r="C895" s="57"/>
      <c r="D895" s="56"/>
      <c r="E895" s="56"/>
      <c r="F895" s="56"/>
      <c r="G895" s="56"/>
      <c r="H895" s="56"/>
      <c r="I895" s="56"/>
      <c r="J895" s="56"/>
      <c r="K895" s="56"/>
    </row>
    <row r="896" spans="1:11" ht="12.75">
      <c r="A896" s="57">
        <v>3</v>
      </c>
      <c r="B896" s="56" t="s">
        <v>334</v>
      </c>
      <c r="C896" s="57" t="s">
        <v>331</v>
      </c>
      <c r="D896" s="56"/>
      <c r="E896" s="56"/>
      <c r="F896" s="56"/>
      <c r="G896" s="56"/>
      <c r="H896" s="56"/>
      <c r="I896" s="56"/>
      <c r="J896" s="56"/>
      <c r="K896" s="56"/>
    </row>
    <row r="897" spans="1:11" ht="12.75">
      <c r="A897" s="57"/>
      <c r="B897" s="56" t="s">
        <v>332</v>
      </c>
      <c r="C897" s="57"/>
      <c r="D897" s="56"/>
      <c r="E897" s="56"/>
      <c r="F897" s="56"/>
      <c r="G897" s="56"/>
      <c r="H897" s="56"/>
      <c r="I897" s="56"/>
      <c r="J897" s="56"/>
      <c r="K897" s="56"/>
    </row>
    <row r="898" spans="1:11" ht="12.75">
      <c r="A898" s="57"/>
      <c r="B898" s="56"/>
      <c r="C898" s="57"/>
      <c r="D898" s="56"/>
      <c r="E898" s="56"/>
      <c r="F898" s="56"/>
      <c r="G898" s="56"/>
      <c r="H898" s="56"/>
      <c r="I898" s="56"/>
      <c r="J898" s="56"/>
      <c r="K898" s="56"/>
    </row>
    <row r="899" spans="1:11" ht="12.75">
      <c r="A899" s="57">
        <v>4</v>
      </c>
      <c r="B899" s="56" t="s">
        <v>335</v>
      </c>
      <c r="C899" s="57" t="s">
        <v>337</v>
      </c>
      <c r="D899" s="56"/>
      <c r="E899" s="56"/>
      <c r="F899" s="56"/>
      <c r="G899" s="56"/>
      <c r="H899" s="56"/>
      <c r="I899" s="56"/>
      <c r="J899" s="56"/>
      <c r="K899" s="56"/>
    </row>
    <row r="900" spans="1:11" ht="12.75">
      <c r="A900" s="57"/>
      <c r="B900" s="56" t="s">
        <v>332</v>
      </c>
      <c r="C900" s="57"/>
      <c r="D900" s="56"/>
      <c r="E900" s="56"/>
      <c r="F900" s="56"/>
      <c r="G900" s="56"/>
      <c r="H900" s="56"/>
      <c r="I900" s="56"/>
      <c r="J900" s="56"/>
      <c r="K900" s="56"/>
    </row>
    <row r="901" spans="1:11" ht="12.75">
      <c r="A901" s="57"/>
      <c r="B901" s="56"/>
      <c r="C901" s="57"/>
      <c r="D901" s="56"/>
      <c r="E901" s="56"/>
      <c r="F901" s="56"/>
      <c r="G901" s="56"/>
      <c r="H901" s="56"/>
      <c r="I901" s="56"/>
      <c r="J901" s="56"/>
      <c r="K901" s="56"/>
    </row>
    <row r="902" spans="1:11" ht="12.75">
      <c r="A902" s="57">
        <v>5</v>
      </c>
      <c r="B902" s="56" t="s">
        <v>336</v>
      </c>
      <c r="C902" s="57" t="s">
        <v>338</v>
      </c>
      <c r="D902" s="56"/>
      <c r="E902" s="56"/>
      <c r="F902" s="56"/>
      <c r="G902" s="56"/>
      <c r="H902" s="56"/>
      <c r="I902" s="56"/>
      <c r="J902" s="56"/>
      <c r="K902" s="56"/>
    </row>
    <row r="903" spans="1:11" ht="12.75">
      <c r="A903" s="56"/>
      <c r="B903" s="56" t="s">
        <v>332</v>
      </c>
      <c r="C903" s="57"/>
      <c r="D903" s="56"/>
      <c r="E903" s="56"/>
      <c r="F903" s="56"/>
      <c r="G903" s="56"/>
      <c r="H903" s="56"/>
      <c r="I903" s="56"/>
      <c r="J903" s="56"/>
      <c r="K903" s="56"/>
    </row>
    <row r="904" spans="1:11" ht="12.7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</row>
    <row r="905" spans="1:11" ht="12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</row>
    <row r="906" spans="1:11" ht="12.75">
      <c r="A906" s="54"/>
      <c r="B906" s="54" t="s">
        <v>339</v>
      </c>
      <c r="C906" s="54"/>
      <c r="D906" s="54"/>
      <c r="E906" s="54"/>
      <c r="F906" s="54"/>
      <c r="G906" s="54"/>
      <c r="H906" s="54"/>
      <c r="I906" s="54"/>
      <c r="J906" s="54" t="s">
        <v>247</v>
      </c>
      <c r="K906" s="54"/>
    </row>
    <row r="924" spans="1:11" ht="12.75">
      <c r="A924" s="54"/>
      <c r="B924" s="54" t="s">
        <v>315</v>
      </c>
      <c r="C924" s="54"/>
      <c r="D924" s="54"/>
      <c r="E924" s="54"/>
      <c r="F924" s="54"/>
      <c r="G924" s="54"/>
      <c r="H924" s="54" t="s">
        <v>316</v>
      </c>
      <c r="I924" s="54"/>
      <c r="J924" s="54"/>
      <c r="K924" s="54"/>
    </row>
    <row r="925" spans="1:11" ht="12.75">
      <c r="A925" s="54"/>
      <c r="B925" s="54"/>
      <c r="C925" s="54"/>
      <c r="D925" s="54" t="s">
        <v>329</v>
      </c>
      <c r="E925" s="54"/>
      <c r="F925" s="54"/>
      <c r="G925" s="54"/>
      <c r="H925" s="54"/>
      <c r="I925" s="54"/>
      <c r="J925" s="54"/>
      <c r="K925" s="54"/>
    </row>
    <row r="926" spans="1:11" ht="12.75">
      <c r="A926" s="54"/>
      <c r="B926" s="54"/>
      <c r="C926" s="54"/>
      <c r="D926" s="54"/>
      <c r="E926" s="54"/>
      <c r="F926" s="54"/>
      <c r="G926" s="54"/>
      <c r="H926" s="54"/>
      <c r="I926" s="54"/>
      <c r="J926" s="58" t="s">
        <v>341</v>
      </c>
      <c r="K926" s="58"/>
    </row>
    <row r="927" spans="1:11" ht="12.75">
      <c r="A927" s="209" t="s">
        <v>0</v>
      </c>
      <c r="B927" s="209" t="s">
        <v>317</v>
      </c>
      <c r="C927" s="209" t="s">
        <v>318</v>
      </c>
      <c r="D927" s="209" t="s">
        <v>319</v>
      </c>
      <c r="E927" s="212" t="s">
        <v>320</v>
      </c>
      <c r="F927" s="213"/>
      <c r="G927" s="213"/>
      <c r="H927" s="213"/>
      <c r="I927" s="214"/>
      <c r="J927" s="209" t="s">
        <v>326</v>
      </c>
      <c r="K927" s="209" t="s">
        <v>327</v>
      </c>
    </row>
    <row r="928" spans="1:11" ht="12.75">
      <c r="A928" s="210"/>
      <c r="B928" s="210"/>
      <c r="C928" s="210"/>
      <c r="D928" s="210"/>
      <c r="E928" s="212" t="s">
        <v>321</v>
      </c>
      <c r="F928" s="214"/>
      <c r="G928" s="212" t="s">
        <v>322</v>
      </c>
      <c r="H928" s="214"/>
      <c r="I928" s="209" t="s">
        <v>325</v>
      </c>
      <c r="J928" s="210"/>
      <c r="K928" s="210"/>
    </row>
    <row r="929" spans="1:11" ht="56.25">
      <c r="A929" s="211"/>
      <c r="B929" s="211"/>
      <c r="C929" s="211"/>
      <c r="D929" s="211"/>
      <c r="E929" s="55" t="s">
        <v>328</v>
      </c>
      <c r="F929" s="55" t="s">
        <v>328</v>
      </c>
      <c r="G929" s="55" t="s">
        <v>323</v>
      </c>
      <c r="H929" s="55" t="s">
        <v>324</v>
      </c>
      <c r="I929" s="211"/>
      <c r="J929" s="211"/>
      <c r="K929" s="211"/>
    </row>
    <row r="930" spans="1:11" ht="12.75">
      <c r="A930" s="53">
        <v>1</v>
      </c>
      <c r="B930" s="53">
        <v>2</v>
      </c>
      <c r="C930" s="53">
        <v>3</v>
      </c>
      <c r="D930" s="53">
        <v>4</v>
      </c>
      <c r="E930" s="53">
        <v>5</v>
      </c>
      <c r="F930" s="53">
        <v>6</v>
      </c>
      <c r="G930" s="53">
        <v>7</v>
      </c>
      <c r="H930" s="53">
        <v>8</v>
      </c>
      <c r="I930" s="53">
        <v>9</v>
      </c>
      <c r="J930" s="53">
        <v>10</v>
      </c>
      <c r="K930" s="53">
        <v>11</v>
      </c>
    </row>
    <row r="931" spans="1:11" ht="12.7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</row>
    <row r="932" spans="1:11" ht="12.75">
      <c r="A932" s="57">
        <v>1</v>
      </c>
      <c r="B932" s="56" t="s">
        <v>330</v>
      </c>
      <c r="C932" s="57" t="s">
        <v>331</v>
      </c>
      <c r="D932" s="56"/>
      <c r="E932" s="56"/>
      <c r="F932" s="56"/>
      <c r="G932" s="56"/>
      <c r="H932" s="56"/>
      <c r="I932" s="56"/>
      <c r="J932" s="56"/>
      <c r="K932" s="56"/>
    </row>
    <row r="933" spans="1:11" ht="12.75">
      <c r="A933" s="57"/>
      <c r="B933" s="56" t="s">
        <v>332</v>
      </c>
      <c r="C933" s="57"/>
      <c r="D933" s="56"/>
      <c r="E933" s="56"/>
      <c r="F933" s="56"/>
      <c r="G933" s="56"/>
      <c r="H933" s="56"/>
      <c r="I933" s="56"/>
      <c r="J933" s="56"/>
      <c r="K933" s="56"/>
    </row>
    <row r="934" spans="1:11" ht="12.75">
      <c r="A934" s="57"/>
      <c r="B934" s="56"/>
      <c r="C934" s="54"/>
      <c r="D934" s="56"/>
      <c r="E934" s="56"/>
      <c r="F934" s="56"/>
      <c r="G934" s="56"/>
      <c r="H934" s="56"/>
      <c r="I934" s="56"/>
      <c r="J934" s="56"/>
      <c r="K934" s="56"/>
    </row>
    <row r="935" spans="1:11" ht="12.75">
      <c r="A935" s="57">
        <v>2</v>
      </c>
      <c r="B935" s="56" t="s">
        <v>333</v>
      </c>
      <c r="C935" s="57" t="s">
        <v>331</v>
      </c>
      <c r="D935" s="56"/>
      <c r="E935" s="56"/>
      <c r="F935" s="56"/>
      <c r="G935" s="56"/>
      <c r="H935" s="56"/>
      <c r="I935" s="56"/>
      <c r="J935" s="56"/>
      <c r="K935" s="56"/>
    </row>
    <row r="936" spans="1:11" ht="12.75">
      <c r="A936" s="57"/>
      <c r="B936" s="56" t="s">
        <v>332</v>
      </c>
      <c r="C936" s="57"/>
      <c r="D936" s="56"/>
      <c r="E936" s="56"/>
      <c r="F936" s="56"/>
      <c r="G936" s="56"/>
      <c r="H936" s="56"/>
      <c r="I936" s="56"/>
      <c r="J936" s="56"/>
      <c r="K936" s="56"/>
    </row>
    <row r="937" spans="1:11" ht="12.75">
      <c r="A937" s="57"/>
      <c r="B937" s="56"/>
      <c r="C937" s="57"/>
      <c r="D937" s="56"/>
      <c r="E937" s="56"/>
      <c r="F937" s="56"/>
      <c r="G937" s="56"/>
      <c r="H937" s="56"/>
      <c r="I937" s="56"/>
      <c r="J937" s="56"/>
      <c r="K937" s="56"/>
    </row>
    <row r="938" spans="1:11" ht="12.75">
      <c r="A938" s="57">
        <v>3</v>
      </c>
      <c r="B938" s="56" t="s">
        <v>334</v>
      </c>
      <c r="C938" s="57" t="s">
        <v>331</v>
      </c>
      <c r="D938" s="56"/>
      <c r="E938" s="56"/>
      <c r="F938" s="56"/>
      <c r="G938" s="56"/>
      <c r="H938" s="56"/>
      <c r="I938" s="56"/>
      <c r="J938" s="56"/>
      <c r="K938" s="56"/>
    </row>
    <row r="939" spans="1:11" ht="12.75">
      <c r="A939" s="57"/>
      <c r="B939" s="56" t="s">
        <v>332</v>
      </c>
      <c r="C939" s="57"/>
      <c r="D939" s="56"/>
      <c r="E939" s="56"/>
      <c r="F939" s="56"/>
      <c r="G939" s="56"/>
      <c r="H939" s="56"/>
      <c r="I939" s="56"/>
      <c r="J939" s="56"/>
      <c r="K939" s="56"/>
    </row>
    <row r="940" spans="1:11" ht="12.75">
      <c r="A940" s="57"/>
      <c r="B940" s="56"/>
      <c r="C940" s="57"/>
      <c r="D940" s="56"/>
      <c r="E940" s="56"/>
      <c r="F940" s="56"/>
      <c r="G940" s="56"/>
      <c r="H940" s="56"/>
      <c r="I940" s="56"/>
      <c r="J940" s="56"/>
      <c r="K940" s="56"/>
    </row>
    <row r="941" spans="1:11" ht="12.75">
      <c r="A941" s="57">
        <v>4</v>
      </c>
      <c r="B941" s="56" t="s">
        <v>335</v>
      </c>
      <c r="C941" s="57" t="s">
        <v>337</v>
      </c>
      <c r="D941" s="56"/>
      <c r="E941" s="56"/>
      <c r="F941" s="56"/>
      <c r="G941" s="56"/>
      <c r="H941" s="56"/>
      <c r="I941" s="56"/>
      <c r="J941" s="56"/>
      <c r="K941" s="56"/>
    </row>
    <row r="942" spans="1:11" ht="12.75">
      <c r="A942" s="57"/>
      <c r="B942" s="56" t="s">
        <v>332</v>
      </c>
      <c r="C942" s="57"/>
      <c r="D942" s="56"/>
      <c r="E942" s="56"/>
      <c r="F942" s="56"/>
      <c r="G942" s="56"/>
      <c r="H942" s="56"/>
      <c r="I942" s="56"/>
      <c r="J942" s="56"/>
      <c r="K942" s="56"/>
    </row>
    <row r="943" spans="1:11" ht="12.75">
      <c r="A943" s="57"/>
      <c r="B943" s="56"/>
      <c r="C943" s="57"/>
      <c r="D943" s="56"/>
      <c r="E943" s="56"/>
      <c r="F943" s="56"/>
      <c r="G943" s="56"/>
      <c r="H943" s="56"/>
      <c r="I943" s="56"/>
      <c r="J943" s="56"/>
      <c r="K943" s="56"/>
    </row>
    <row r="944" spans="1:11" ht="12.75">
      <c r="A944" s="57">
        <v>5</v>
      </c>
      <c r="B944" s="56" t="s">
        <v>336</v>
      </c>
      <c r="C944" s="57" t="s">
        <v>338</v>
      </c>
      <c r="D944" s="56"/>
      <c r="E944" s="56"/>
      <c r="F944" s="56"/>
      <c r="G944" s="56"/>
      <c r="H944" s="56"/>
      <c r="I944" s="56"/>
      <c r="J944" s="56"/>
      <c r="K944" s="56"/>
    </row>
    <row r="945" spans="1:11" ht="12.75">
      <c r="A945" s="56"/>
      <c r="B945" s="56" t="s">
        <v>332</v>
      </c>
      <c r="C945" s="57"/>
      <c r="D945" s="56"/>
      <c r="E945" s="56"/>
      <c r="F945" s="56"/>
      <c r="G945" s="56"/>
      <c r="H945" s="56"/>
      <c r="I945" s="56"/>
      <c r="J945" s="56"/>
      <c r="K945" s="56"/>
    </row>
    <row r="946" spans="1:11" ht="12.7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</row>
    <row r="947" spans="1:11" ht="12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</row>
    <row r="948" spans="1:11" ht="12.75">
      <c r="A948" s="54"/>
      <c r="B948" s="54" t="s">
        <v>339</v>
      </c>
      <c r="C948" s="54"/>
      <c r="D948" s="54"/>
      <c r="E948" s="54"/>
      <c r="F948" s="54"/>
      <c r="G948" s="54"/>
      <c r="H948" s="54"/>
      <c r="I948" s="54"/>
      <c r="J948" s="54" t="s">
        <v>247</v>
      </c>
      <c r="K948" s="54"/>
    </row>
    <row r="966" spans="1:11" ht="12.75">
      <c r="A966" s="54"/>
      <c r="B966" s="54" t="s">
        <v>315</v>
      </c>
      <c r="C966" s="54"/>
      <c r="D966" s="54"/>
      <c r="E966" s="54"/>
      <c r="F966" s="54"/>
      <c r="G966" s="54"/>
      <c r="H966" s="54" t="s">
        <v>316</v>
      </c>
      <c r="I966" s="54"/>
      <c r="J966" s="54"/>
      <c r="K966" s="54"/>
    </row>
    <row r="967" spans="1:11" ht="12.75">
      <c r="A967" s="54"/>
      <c r="B967" s="54"/>
      <c r="C967" s="54"/>
      <c r="D967" s="54" t="s">
        <v>329</v>
      </c>
      <c r="E967" s="54"/>
      <c r="F967" s="54"/>
      <c r="G967" s="54"/>
      <c r="H967" s="54"/>
      <c r="I967" s="54"/>
      <c r="J967" s="54"/>
      <c r="K967" s="54"/>
    </row>
    <row r="968" spans="1:11" ht="12.75">
      <c r="A968" s="54"/>
      <c r="B968" s="54"/>
      <c r="C968" s="54"/>
      <c r="D968" s="54"/>
      <c r="E968" s="54"/>
      <c r="F968" s="54"/>
      <c r="G968" s="54"/>
      <c r="H968" s="54"/>
      <c r="I968" s="54"/>
      <c r="J968" s="58" t="s">
        <v>341</v>
      </c>
      <c r="K968" s="58"/>
    </row>
    <row r="969" spans="1:11" ht="12.75">
      <c r="A969" s="209" t="s">
        <v>0</v>
      </c>
      <c r="B969" s="209" t="s">
        <v>317</v>
      </c>
      <c r="C969" s="209" t="s">
        <v>318</v>
      </c>
      <c r="D969" s="209" t="s">
        <v>319</v>
      </c>
      <c r="E969" s="212" t="s">
        <v>320</v>
      </c>
      <c r="F969" s="213"/>
      <c r="G969" s="213"/>
      <c r="H969" s="213"/>
      <c r="I969" s="214"/>
      <c r="J969" s="209" t="s">
        <v>326</v>
      </c>
      <c r="K969" s="209" t="s">
        <v>327</v>
      </c>
    </row>
    <row r="970" spans="1:11" ht="12.75">
      <c r="A970" s="210"/>
      <c r="B970" s="210"/>
      <c r="C970" s="210"/>
      <c r="D970" s="210"/>
      <c r="E970" s="212" t="s">
        <v>321</v>
      </c>
      <c r="F970" s="214"/>
      <c r="G970" s="212" t="s">
        <v>322</v>
      </c>
      <c r="H970" s="214"/>
      <c r="I970" s="209" t="s">
        <v>325</v>
      </c>
      <c r="J970" s="210"/>
      <c r="K970" s="210"/>
    </row>
    <row r="971" spans="1:11" ht="56.25">
      <c r="A971" s="211"/>
      <c r="B971" s="211"/>
      <c r="C971" s="211"/>
      <c r="D971" s="211"/>
      <c r="E971" s="55" t="s">
        <v>328</v>
      </c>
      <c r="F971" s="55" t="s">
        <v>328</v>
      </c>
      <c r="G971" s="55" t="s">
        <v>323</v>
      </c>
      <c r="H971" s="55" t="s">
        <v>324</v>
      </c>
      <c r="I971" s="211"/>
      <c r="J971" s="211"/>
      <c r="K971" s="211"/>
    </row>
    <row r="972" spans="1:11" ht="12.75">
      <c r="A972" s="53">
        <v>1</v>
      </c>
      <c r="B972" s="53">
        <v>2</v>
      </c>
      <c r="C972" s="53">
        <v>3</v>
      </c>
      <c r="D972" s="53">
        <v>4</v>
      </c>
      <c r="E972" s="53">
        <v>5</v>
      </c>
      <c r="F972" s="53">
        <v>6</v>
      </c>
      <c r="G972" s="53">
        <v>7</v>
      </c>
      <c r="H972" s="53">
        <v>8</v>
      </c>
      <c r="I972" s="53">
        <v>9</v>
      </c>
      <c r="J972" s="53">
        <v>10</v>
      </c>
      <c r="K972" s="53">
        <v>11</v>
      </c>
    </row>
    <row r="973" spans="1:11" ht="12.7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</row>
    <row r="974" spans="1:11" ht="12.75">
      <c r="A974" s="57">
        <v>1</v>
      </c>
      <c r="B974" s="56" t="s">
        <v>330</v>
      </c>
      <c r="C974" s="57" t="s">
        <v>331</v>
      </c>
      <c r="D974" s="56"/>
      <c r="E974" s="56"/>
      <c r="F974" s="56"/>
      <c r="G974" s="56"/>
      <c r="H974" s="56"/>
      <c r="I974" s="56"/>
      <c r="J974" s="56"/>
      <c r="K974" s="56"/>
    </row>
    <row r="975" spans="1:11" ht="12.75">
      <c r="A975" s="57"/>
      <c r="B975" s="56" t="s">
        <v>332</v>
      </c>
      <c r="C975" s="57"/>
      <c r="D975" s="56"/>
      <c r="E975" s="56"/>
      <c r="F975" s="56"/>
      <c r="G975" s="56"/>
      <c r="H975" s="56"/>
      <c r="I975" s="56"/>
      <c r="J975" s="56"/>
      <c r="K975" s="56"/>
    </row>
    <row r="976" spans="1:11" ht="12.75">
      <c r="A976" s="57"/>
      <c r="B976" s="56"/>
      <c r="C976" s="54"/>
      <c r="D976" s="56"/>
      <c r="E976" s="56"/>
      <c r="F976" s="56"/>
      <c r="G976" s="56"/>
      <c r="H976" s="56"/>
      <c r="I976" s="56"/>
      <c r="J976" s="56"/>
      <c r="K976" s="56"/>
    </row>
    <row r="977" spans="1:11" ht="12.75">
      <c r="A977" s="57">
        <v>2</v>
      </c>
      <c r="B977" s="56" t="s">
        <v>333</v>
      </c>
      <c r="C977" s="57" t="s">
        <v>331</v>
      </c>
      <c r="D977" s="56"/>
      <c r="E977" s="56"/>
      <c r="F977" s="56"/>
      <c r="G977" s="56"/>
      <c r="H977" s="56"/>
      <c r="I977" s="56"/>
      <c r="J977" s="56"/>
      <c r="K977" s="56"/>
    </row>
    <row r="978" spans="1:11" ht="12.75">
      <c r="A978" s="57"/>
      <c r="B978" s="56" t="s">
        <v>332</v>
      </c>
      <c r="C978" s="57"/>
      <c r="D978" s="56"/>
      <c r="E978" s="56"/>
      <c r="F978" s="56"/>
      <c r="G978" s="56"/>
      <c r="H978" s="56"/>
      <c r="I978" s="56"/>
      <c r="J978" s="56"/>
      <c r="K978" s="56"/>
    </row>
    <row r="979" spans="1:11" ht="12.75">
      <c r="A979" s="57"/>
      <c r="B979" s="56"/>
      <c r="C979" s="57"/>
      <c r="D979" s="56"/>
      <c r="E979" s="56"/>
      <c r="F979" s="56"/>
      <c r="G979" s="56"/>
      <c r="H979" s="56"/>
      <c r="I979" s="56"/>
      <c r="J979" s="56"/>
      <c r="K979" s="56"/>
    </row>
    <row r="980" spans="1:11" ht="12.75">
      <c r="A980" s="57">
        <v>3</v>
      </c>
      <c r="B980" s="56" t="s">
        <v>334</v>
      </c>
      <c r="C980" s="57" t="s">
        <v>331</v>
      </c>
      <c r="D980" s="56"/>
      <c r="E980" s="56"/>
      <c r="F980" s="56"/>
      <c r="G980" s="56"/>
      <c r="H980" s="56"/>
      <c r="I980" s="56"/>
      <c r="J980" s="56"/>
      <c r="K980" s="56"/>
    </row>
    <row r="981" spans="1:11" ht="12.75">
      <c r="A981" s="57"/>
      <c r="B981" s="56" t="s">
        <v>332</v>
      </c>
      <c r="C981" s="57"/>
      <c r="D981" s="56"/>
      <c r="E981" s="56"/>
      <c r="F981" s="56"/>
      <c r="G981" s="56"/>
      <c r="H981" s="56"/>
      <c r="I981" s="56"/>
      <c r="J981" s="56"/>
      <c r="K981" s="56"/>
    </row>
    <row r="982" spans="1:11" ht="12.75">
      <c r="A982" s="57"/>
      <c r="B982" s="56"/>
      <c r="C982" s="57"/>
      <c r="D982" s="56"/>
      <c r="E982" s="56"/>
      <c r="F982" s="56"/>
      <c r="G982" s="56"/>
      <c r="H982" s="56"/>
      <c r="I982" s="56"/>
      <c r="J982" s="56"/>
      <c r="K982" s="56"/>
    </row>
    <row r="983" spans="1:11" ht="12.75">
      <c r="A983" s="57">
        <v>4</v>
      </c>
      <c r="B983" s="56" t="s">
        <v>335</v>
      </c>
      <c r="C983" s="57" t="s">
        <v>337</v>
      </c>
      <c r="D983" s="56"/>
      <c r="E983" s="56"/>
      <c r="F983" s="56"/>
      <c r="G983" s="56"/>
      <c r="H983" s="56"/>
      <c r="I983" s="56"/>
      <c r="J983" s="56"/>
      <c r="K983" s="56"/>
    </row>
    <row r="984" spans="1:11" ht="12.75">
      <c r="A984" s="57"/>
      <c r="B984" s="56" t="s">
        <v>332</v>
      </c>
      <c r="C984" s="57"/>
      <c r="D984" s="56"/>
      <c r="E984" s="56"/>
      <c r="F984" s="56"/>
      <c r="G984" s="56"/>
      <c r="H984" s="56"/>
      <c r="I984" s="56"/>
      <c r="J984" s="56"/>
      <c r="K984" s="56"/>
    </row>
    <row r="985" spans="1:11" ht="12.75">
      <c r="A985" s="57"/>
      <c r="B985" s="56"/>
      <c r="C985" s="57"/>
      <c r="D985" s="56"/>
      <c r="E985" s="56"/>
      <c r="F985" s="56"/>
      <c r="G985" s="56"/>
      <c r="H985" s="56"/>
      <c r="I985" s="56"/>
      <c r="J985" s="56"/>
      <c r="K985" s="56"/>
    </row>
    <row r="986" spans="1:11" ht="12.75">
      <c r="A986" s="57">
        <v>5</v>
      </c>
      <c r="B986" s="56" t="s">
        <v>336</v>
      </c>
      <c r="C986" s="57" t="s">
        <v>338</v>
      </c>
      <c r="D986" s="56"/>
      <c r="E986" s="56"/>
      <c r="F986" s="56"/>
      <c r="G986" s="56"/>
      <c r="H986" s="56"/>
      <c r="I986" s="56"/>
      <c r="J986" s="56"/>
      <c r="K986" s="56"/>
    </row>
    <row r="987" spans="1:11" ht="12.75">
      <c r="A987" s="56"/>
      <c r="B987" s="56" t="s">
        <v>332</v>
      </c>
      <c r="C987" s="57"/>
      <c r="D987" s="56"/>
      <c r="E987" s="56"/>
      <c r="F987" s="56"/>
      <c r="G987" s="56"/>
      <c r="H987" s="56"/>
      <c r="I987" s="56"/>
      <c r="J987" s="56"/>
      <c r="K987" s="56"/>
    </row>
    <row r="988" spans="1:11" ht="12.7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</row>
    <row r="989" spans="1:11" ht="12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</row>
    <row r="990" spans="1:11" ht="12.75">
      <c r="A990" s="54"/>
      <c r="B990" s="54" t="s">
        <v>339</v>
      </c>
      <c r="C990" s="54"/>
      <c r="D990" s="54"/>
      <c r="E990" s="54"/>
      <c r="F990" s="54"/>
      <c r="G990" s="54"/>
      <c r="H990" s="54"/>
      <c r="I990" s="54"/>
      <c r="J990" s="54" t="s">
        <v>247</v>
      </c>
      <c r="K990" s="54"/>
    </row>
    <row r="1008" spans="1:11" ht="12.75">
      <c r="A1008" s="54"/>
      <c r="B1008" s="54" t="s">
        <v>315</v>
      </c>
      <c r="C1008" s="54"/>
      <c r="D1008" s="54"/>
      <c r="E1008" s="54"/>
      <c r="F1008" s="54"/>
      <c r="G1008" s="54"/>
      <c r="H1008" s="54" t="s">
        <v>316</v>
      </c>
      <c r="I1008" s="54"/>
      <c r="J1008" s="54"/>
      <c r="K1008" s="54"/>
    </row>
    <row r="1009" spans="1:11" ht="12.75">
      <c r="A1009" s="54"/>
      <c r="B1009" s="54"/>
      <c r="C1009" s="54"/>
      <c r="D1009" s="54" t="s">
        <v>329</v>
      </c>
      <c r="E1009" s="54"/>
      <c r="F1009" s="54"/>
      <c r="G1009" s="54"/>
      <c r="H1009" s="54"/>
      <c r="I1009" s="54"/>
      <c r="J1009" s="54"/>
      <c r="K1009" s="54"/>
    </row>
    <row r="1010" spans="1:11" ht="12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8" t="s">
        <v>341</v>
      </c>
      <c r="K1010" s="58"/>
    </row>
    <row r="1011" spans="1:11" ht="12.75">
      <c r="A1011" s="209" t="s">
        <v>0</v>
      </c>
      <c r="B1011" s="209" t="s">
        <v>317</v>
      </c>
      <c r="C1011" s="209" t="s">
        <v>318</v>
      </c>
      <c r="D1011" s="209" t="s">
        <v>319</v>
      </c>
      <c r="E1011" s="212" t="s">
        <v>320</v>
      </c>
      <c r="F1011" s="213"/>
      <c r="G1011" s="213"/>
      <c r="H1011" s="213"/>
      <c r="I1011" s="214"/>
      <c r="J1011" s="209" t="s">
        <v>326</v>
      </c>
      <c r="K1011" s="209" t="s">
        <v>327</v>
      </c>
    </row>
    <row r="1012" spans="1:11" ht="12.75">
      <c r="A1012" s="210"/>
      <c r="B1012" s="210"/>
      <c r="C1012" s="210"/>
      <c r="D1012" s="210"/>
      <c r="E1012" s="212" t="s">
        <v>321</v>
      </c>
      <c r="F1012" s="214"/>
      <c r="G1012" s="212" t="s">
        <v>322</v>
      </c>
      <c r="H1012" s="214"/>
      <c r="I1012" s="209" t="s">
        <v>325</v>
      </c>
      <c r="J1012" s="210"/>
      <c r="K1012" s="210"/>
    </row>
    <row r="1013" spans="1:11" ht="56.25">
      <c r="A1013" s="211"/>
      <c r="B1013" s="211"/>
      <c r="C1013" s="211"/>
      <c r="D1013" s="211"/>
      <c r="E1013" s="55" t="s">
        <v>328</v>
      </c>
      <c r="F1013" s="55" t="s">
        <v>328</v>
      </c>
      <c r="G1013" s="55" t="s">
        <v>323</v>
      </c>
      <c r="H1013" s="55" t="s">
        <v>324</v>
      </c>
      <c r="I1013" s="211"/>
      <c r="J1013" s="211"/>
      <c r="K1013" s="211"/>
    </row>
    <row r="1014" spans="1:11" ht="12.75">
      <c r="A1014" s="53">
        <v>1</v>
      </c>
      <c r="B1014" s="53">
        <v>2</v>
      </c>
      <c r="C1014" s="53">
        <v>3</v>
      </c>
      <c r="D1014" s="53">
        <v>4</v>
      </c>
      <c r="E1014" s="53">
        <v>5</v>
      </c>
      <c r="F1014" s="53">
        <v>6</v>
      </c>
      <c r="G1014" s="53">
        <v>7</v>
      </c>
      <c r="H1014" s="53">
        <v>8</v>
      </c>
      <c r="I1014" s="53">
        <v>9</v>
      </c>
      <c r="J1014" s="53">
        <v>10</v>
      </c>
      <c r="K1014" s="53">
        <v>11</v>
      </c>
    </row>
    <row r="1015" spans="1:11" ht="12.7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</row>
    <row r="1016" spans="1:11" ht="12.75">
      <c r="A1016" s="57">
        <v>1</v>
      </c>
      <c r="B1016" s="56" t="s">
        <v>330</v>
      </c>
      <c r="C1016" s="57" t="s">
        <v>331</v>
      </c>
      <c r="D1016" s="56"/>
      <c r="E1016" s="56"/>
      <c r="F1016" s="56"/>
      <c r="G1016" s="56"/>
      <c r="H1016" s="56"/>
      <c r="I1016" s="56"/>
      <c r="J1016" s="56"/>
      <c r="K1016" s="56"/>
    </row>
    <row r="1017" spans="1:11" ht="12.75">
      <c r="A1017" s="57"/>
      <c r="B1017" s="56" t="s">
        <v>332</v>
      </c>
      <c r="C1017" s="57"/>
      <c r="D1017" s="56"/>
      <c r="E1017" s="56"/>
      <c r="F1017" s="56"/>
      <c r="G1017" s="56"/>
      <c r="H1017" s="56"/>
      <c r="I1017" s="56"/>
      <c r="J1017" s="56"/>
      <c r="K1017" s="56"/>
    </row>
    <row r="1018" spans="1:11" ht="12.75">
      <c r="A1018" s="57"/>
      <c r="B1018" s="56"/>
      <c r="C1018" s="54"/>
      <c r="D1018" s="56"/>
      <c r="E1018" s="56"/>
      <c r="F1018" s="56"/>
      <c r="G1018" s="56"/>
      <c r="H1018" s="56"/>
      <c r="I1018" s="56"/>
      <c r="J1018" s="56"/>
      <c r="K1018" s="56"/>
    </row>
    <row r="1019" spans="1:11" ht="12.75">
      <c r="A1019" s="57">
        <v>2</v>
      </c>
      <c r="B1019" s="56" t="s">
        <v>333</v>
      </c>
      <c r="C1019" s="57" t="s">
        <v>331</v>
      </c>
      <c r="D1019" s="56"/>
      <c r="E1019" s="56"/>
      <c r="F1019" s="56"/>
      <c r="G1019" s="56"/>
      <c r="H1019" s="56"/>
      <c r="I1019" s="56"/>
      <c r="J1019" s="56"/>
      <c r="K1019" s="56"/>
    </row>
    <row r="1020" spans="1:11" ht="12.75">
      <c r="A1020" s="57"/>
      <c r="B1020" s="56" t="s">
        <v>332</v>
      </c>
      <c r="C1020" s="57"/>
      <c r="D1020" s="56"/>
      <c r="E1020" s="56"/>
      <c r="F1020" s="56"/>
      <c r="G1020" s="56"/>
      <c r="H1020" s="56"/>
      <c r="I1020" s="56"/>
      <c r="J1020" s="56"/>
      <c r="K1020" s="56"/>
    </row>
    <row r="1021" spans="1:11" ht="12.75">
      <c r="A1021" s="57"/>
      <c r="B1021" s="56"/>
      <c r="C1021" s="57"/>
      <c r="D1021" s="56"/>
      <c r="E1021" s="56"/>
      <c r="F1021" s="56"/>
      <c r="G1021" s="56"/>
      <c r="H1021" s="56"/>
      <c r="I1021" s="56"/>
      <c r="J1021" s="56"/>
      <c r="K1021" s="56"/>
    </row>
    <row r="1022" spans="1:11" ht="12.75">
      <c r="A1022" s="57">
        <v>3</v>
      </c>
      <c r="B1022" s="56" t="s">
        <v>334</v>
      </c>
      <c r="C1022" s="57" t="s">
        <v>331</v>
      </c>
      <c r="D1022" s="56"/>
      <c r="E1022" s="56"/>
      <c r="F1022" s="56"/>
      <c r="G1022" s="56"/>
      <c r="H1022" s="56"/>
      <c r="I1022" s="56"/>
      <c r="J1022" s="56"/>
      <c r="K1022" s="56"/>
    </row>
    <row r="1023" spans="1:11" ht="12.75">
      <c r="A1023" s="57"/>
      <c r="B1023" s="56" t="s">
        <v>332</v>
      </c>
      <c r="C1023" s="57"/>
      <c r="D1023" s="56"/>
      <c r="E1023" s="56"/>
      <c r="F1023" s="56"/>
      <c r="G1023" s="56"/>
      <c r="H1023" s="56"/>
      <c r="I1023" s="56"/>
      <c r="J1023" s="56"/>
      <c r="K1023" s="56"/>
    </row>
    <row r="1024" spans="1:11" ht="12.75">
      <c r="A1024" s="57"/>
      <c r="B1024" s="56"/>
      <c r="C1024" s="57"/>
      <c r="D1024" s="56"/>
      <c r="E1024" s="56"/>
      <c r="F1024" s="56"/>
      <c r="G1024" s="56"/>
      <c r="H1024" s="56"/>
      <c r="I1024" s="56"/>
      <c r="J1024" s="56"/>
      <c r="K1024" s="56"/>
    </row>
    <row r="1025" spans="1:11" ht="12.75">
      <c r="A1025" s="57">
        <v>4</v>
      </c>
      <c r="B1025" s="56" t="s">
        <v>335</v>
      </c>
      <c r="C1025" s="57" t="s">
        <v>337</v>
      </c>
      <c r="D1025" s="56"/>
      <c r="E1025" s="56"/>
      <c r="F1025" s="56"/>
      <c r="G1025" s="56"/>
      <c r="H1025" s="56"/>
      <c r="I1025" s="56"/>
      <c r="J1025" s="56"/>
      <c r="K1025" s="56"/>
    </row>
    <row r="1026" spans="1:11" ht="12.75">
      <c r="A1026" s="57"/>
      <c r="B1026" s="56" t="s">
        <v>332</v>
      </c>
      <c r="C1026" s="57"/>
      <c r="D1026" s="56"/>
      <c r="E1026" s="56"/>
      <c r="F1026" s="56"/>
      <c r="G1026" s="56"/>
      <c r="H1026" s="56"/>
      <c r="I1026" s="56"/>
      <c r="J1026" s="56"/>
      <c r="K1026" s="56"/>
    </row>
    <row r="1027" spans="1:11" ht="12.75">
      <c r="A1027" s="57"/>
      <c r="B1027" s="56"/>
      <c r="C1027" s="57"/>
      <c r="D1027" s="56"/>
      <c r="E1027" s="56"/>
      <c r="F1027" s="56"/>
      <c r="G1027" s="56"/>
      <c r="H1027" s="56"/>
      <c r="I1027" s="56"/>
      <c r="J1027" s="56"/>
      <c r="K1027" s="56"/>
    </row>
    <row r="1028" spans="1:11" ht="12.75">
      <c r="A1028" s="57">
        <v>5</v>
      </c>
      <c r="B1028" s="56" t="s">
        <v>336</v>
      </c>
      <c r="C1028" s="57" t="s">
        <v>338</v>
      </c>
      <c r="D1028" s="56"/>
      <c r="E1028" s="56"/>
      <c r="F1028" s="56"/>
      <c r="G1028" s="56"/>
      <c r="H1028" s="56"/>
      <c r="I1028" s="56"/>
      <c r="J1028" s="56"/>
      <c r="K1028" s="56"/>
    </row>
    <row r="1029" spans="1:11" ht="12.75">
      <c r="A1029" s="56"/>
      <c r="B1029" s="56" t="s">
        <v>332</v>
      </c>
      <c r="C1029" s="57"/>
      <c r="D1029" s="56"/>
      <c r="E1029" s="56"/>
      <c r="F1029" s="56"/>
      <c r="G1029" s="56"/>
      <c r="H1029" s="56"/>
      <c r="I1029" s="56"/>
      <c r="J1029" s="56"/>
      <c r="K1029" s="56"/>
    </row>
    <row r="1030" spans="1:11" ht="12.7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</row>
    <row r="1031" spans="1:11" ht="12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</row>
    <row r="1032" spans="1:11" ht="12.75">
      <c r="A1032" s="54"/>
      <c r="B1032" s="54" t="s">
        <v>339</v>
      </c>
      <c r="C1032" s="54"/>
      <c r="D1032" s="54"/>
      <c r="E1032" s="54"/>
      <c r="F1032" s="54"/>
      <c r="G1032" s="54"/>
      <c r="H1032" s="54"/>
      <c r="I1032" s="54"/>
      <c r="J1032" s="54" t="s">
        <v>247</v>
      </c>
      <c r="K1032" s="54"/>
    </row>
    <row r="1050" spans="1:11" ht="12.75">
      <c r="A1050" s="54"/>
      <c r="B1050" s="54" t="s">
        <v>315</v>
      </c>
      <c r="C1050" s="54"/>
      <c r="D1050" s="54"/>
      <c r="E1050" s="54"/>
      <c r="F1050" s="54"/>
      <c r="G1050" s="54"/>
      <c r="H1050" s="54" t="s">
        <v>316</v>
      </c>
      <c r="I1050" s="54"/>
      <c r="J1050" s="54"/>
      <c r="K1050" s="54"/>
    </row>
    <row r="1051" spans="1:11" ht="12.75">
      <c r="A1051" s="54"/>
      <c r="B1051" s="54"/>
      <c r="C1051" s="54"/>
      <c r="D1051" s="54" t="s">
        <v>329</v>
      </c>
      <c r="E1051" s="54"/>
      <c r="F1051" s="54"/>
      <c r="G1051" s="54"/>
      <c r="H1051" s="54"/>
      <c r="I1051" s="54"/>
      <c r="J1051" s="54"/>
      <c r="K1051" s="54"/>
    </row>
    <row r="1052" spans="1:11" ht="12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8" t="s">
        <v>341</v>
      </c>
      <c r="K1052" s="58"/>
    </row>
    <row r="1053" spans="1:11" ht="12.75">
      <c r="A1053" s="209" t="s">
        <v>0</v>
      </c>
      <c r="B1053" s="209" t="s">
        <v>317</v>
      </c>
      <c r="C1053" s="209" t="s">
        <v>318</v>
      </c>
      <c r="D1053" s="209" t="s">
        <v>319</v>
      </c>
      <c r="E1053" s="212" t="s">
        <v>320</v>
      </c>
      <c r="F1053" s="213"/>
      <c r="G1053" s="213"/>
      <c r="H1053" s="213"/>
      <c r="I1053" s="214"/>
      <c r="J1053" s="209" t="s">
        <v>326</v>
      </c>
      <c r="K1053" s="209" t="s">
        <v>327</v>
      </c>
    </row>
    <row r="1054" spans="1:11" ht="12.75">
      <c r="A1054" s="210"/>
      <c r="B1054" s="210"/>
      <c r="C1054" s="210"/>
      <c r="D1054" s="210"/>
      <c r="E1054" s="212" t="s">
        <v>321</v>
      </c>
      <c r="F1054" s="214"/>
      <c r="G1054" s="212" t="s">
        <v>322</v>
      </c>
      <c r="H1054" s="214"/>
      <c r="I1054" s="209" t="s">
        <v>325</v>
      </c>
      <c r="J1054" s="210"/>
      <c r="K1054" s="210"/>
    </row>
    <row r="1055" spans="1:11" ht="56.25">
      <c r="A1055" s="211"/>
      <c r="B1055" s="211"/>
      <c r="C1055" s="211"/>
      <c r="D1055" s="211"/>
      <c r="E1055" s="55" t="s">
        <v>328</v>
      </c>
      <c r="F1055" s="55" t="s">
        <v>328</v>
      </c>
      <c r="G1055" s="55" t="s">
        <v>323</v>
      </c>
      <c r="H1055" s="55" t="s">
        <v>324</v>
      </c>
      <c r="I1055" s="211"/>
      <c r="J1055" s="211"/>
      <c r="K1055" s="211"/>
    </row>
    <row r="1056" spans="1:11" ht="12.75">
      <c r="A1056" s="53">
        <v>1</v>
      </c>
      <c r="B1056" s="53">
        <v>2</v>
      </c>
      <c r="C1056" s="53">
        <v>3</v>
      </c>
      <c r="D1056" s="53">
        <v>4</v>
      </c>
      <c r="E1056" s="53">
        <v>5</v>
      </c>
      <c r="F1056" s="53">
        <v>6</v>
      </c>
      <c r="G1056" s="53">
        <v>7</v>
      </c>
      <c r="H1056" s="53">
        <v>8</v>
      </c>
      <c r="I1056" s="53">
        <v>9</v>
      </c>
      <c r="J1056" s="53">
        <v>10</v>
      </c>
      <c r="K1056" s="53">
        <v>11</v>
      </c>
    </row>
    <row r="1057" spans="1:11" ht="12.7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</row>
    <row r="1058" spans="1:11" ht="12.75">
      <c r="A1058" s="57">
        <v>1</v>
      </c>
      <c r="B1058" s="56" t="s">
        <v>330</v>
      </c>
      <c r="C1058" s="57" t="s">
        <v>331</v>
      </c>
      <c r="D1058" s="56"/>
      <c r="E1058" s="56"/>
      <c r="F1058" s="56"/>
      <c r="G1058" s="56"/>
      <c r="H1058" s="56"/>
      <c r="I1058" s="56"/>
      <c r="J1058" s="56"/>
      <c r="K1058" s="56"/>
    </row>
    <row r="1059" spans="1:11" ht="12.75">
      <c r="A1059" s="57"/>
      <c r="B1059" s="56" t="s">
        <v>332</v>
      </c>
      <c r="C1059" s="57"/>
      <c r="D1059" s="56"/>
      <c r="E1059" s="56"/>
      <c r="F1059" s="56"/>
      <c r="G1059" s="56"/>
      <c r="H1059" s="56"/>
      <c r="I1059" s="56"/>
      <c r="J1059" s="56"/>
      <c r="K1059" s="56"/>
    </row>
    <row r="1060" spans="1:11" ht="12.75">
      <c r="A1060" s="57"/>
      <c r="B1060" s="56"/>
      <c r="C1060" s="54"/>
      <c r="D1060" s="56"/>
      <c r="E1060" s="56"/>
      <c r="F1060" s="56"/>
      <c r="G1060" s="56"/>
      <c r="H1060" s="56"/>
      <c r="I1060" s="56"/>
      <c r="J1060" s="56"/>
      <c r="K1060" s="56"/>
    </row>
    <row r="1061" spans="1:11" ht="12.75">
      <c r="A1061" s="57">
        <v>2</v>
      </c>
      <c r="B1061" s="56" t="s">
        <v>333</v>
      </c>
      <c r="C1061" s="57" t="s">
        <v>331</v>
      </c>
      <c r="D1061" s="56"/>
      <c r="E1061" s="56"/>
      <c r="F1061" s="56"/>
      <c r="G1061" s="56"/>
      <c r="H1061" s="56"/>
      <c r="I1061" s="56"/>
      <c r="J1061" s="56"/>
      <c r="K1061" s="56"/>
    </row>
    <row r="1062" spans="1:11" ht="12.75">
      <c r="A1062" s="57"/>
      <c r="B1062" s="56" t="s">
        <v>332</v>
      </c>
      <c r="C1062" s="57"/>
      <c r="D1062" s="56"/>
      <c r="E1062" s="56"/>
      <c r="F1062" s="56"/>
      <c r="G1062" s="56"/>
      <c r="H1062" s="56"/>
      <c r="I1062" s="56"/>
      <c r="J1062" s="56"/>
      <c r="K1062" s="56"/>
    </row>
    <row r="1063" spans="1:11" ht="12.75">
      <c r="A1063" s="57"/>
      <c r="B1063" s="56"/>
      <c r="C1063" s="57"/>
      <c r="D1063" s="56"/>
      <c r="E1063" s="56"/>
      <c r="F1063" s="56"/>
      <c r="G1063" s="56"/>
      <c r="H1063" s="56"/>
      <c r="I1063" s="56"/>
      <c r="J1063" s="56"/>
      <c r="K1063" s="56"/>
    </row>
    <row r="1064" spans="1:11" ht="12.75">
      <c r="A1064" s="57">
        <v>3</v>
      </c>
      <c r="B1064" s="56" t="s">
        <v>334</v>
      </c>
      <c r="C1064" s="57" t="s">
        <v>331</v>
      </c>
      <c r="D1064" s="56"/>
      <c r="E1064" s="56"/>
      <c r="F1064" s="56"/>
      <c r="G1064" s="56"/>
      <c r="H1064" s="56"/>
      <c r="I1064" s="56"/>
      <c r="J1064" s="56"/>
      <c r="K1064" s="56"/>
    </row>
    <row r="1065" spans="1:11" ht="12.75">
      <c r="A1065" s="57"/>
      <c r="B1065" s="56" t="s">
        <v>332</v>
      </c>
      <c r="C1065" s="57"/>
      <c r="D1065" s="56"/>
      <c r="E1065" s="56"/>
      <c r="F1065" s="56"/>
      <c r="G1065" s="56"/>
      <c r="H1065" s="56"/>
      <c r="I1065" s="56"/>
      <c r="J1065" s="56"/>
      <c r="K1065" s="56"/>
    </row>
    <row r="1066" spans="1:11" ht="12.75">
      <c r="A1066" s="57"/>
      <c r="B1066" s="56"/>
      <c r="C1066" s="57"/>
      <c r="D1066" s="56"/>
      <c r="E1066" s="56"/>
      <c r="F1066" s="56"/>
      <c r="G1066" s="56"/>
      <c r="H1066" s="56"/>
      <c r="I1066" s="56"/>
      <c r="J1066" s="56"/>
      <c r="K1066" s="56"/>
    </row>
    <row r="1067" spans="1:11" ht="12.75">
      <c r="A1067" s="57">
        <v>4</v>
      </c>
      <c r="B1067" s="56" t="s">
        <v>335</v>
      </c>
      <c r="C1067" s="57" t="s">
        <v>337</v>
      </c>
      <c r="D1067" s="56"/>
      <c r="E1067" s="56"/>
      <c r="F1067" s="56"/>
      <c r="G1067" s="56"/>
      <c r="H1067" s="56"/>
      <c r="I1067" s="56"/>
      <c r="J1067" s="56"/>
      <c r="K1067" s="56"/>
    </row>
    <row r="1068" spans="1:11" ht="12.75">
      <c r="A1068" s="57"/>
      <c r="B1068" s="56" t="s">
        <v>332</v>
      </c>
      <c r="C1068" s="57"/>
      <c r="D1068" s="56"/>
      <c r="E1068" s="56"/>
      <c r="F1068" s="56"/>
      <c r="G1068" s="56"/>
      <c r="H1068" s="56"/>
      <c r="I1068" s="56"/>
      <c r="J1068" s="56"/>
      <c r="K1068" s="56"/>
    </row>
    <row r="1069" spans="1:11" ht="12.75">
      <c r="A1069" s="57"/>
      <c r="B1069" s="56"/>
      <c r="C1069" s="57"/>
      <c r="D1069" s="56"/>
      <c r="E1069" s="56"/>
      <c r="F1069" s="56"/>
      <c r="G1069" s="56"/>
      <c r="H1069" s="56"/>
      <c r="I1069" s="56"/>
      <c r="J1069" s="56"/>
      <c r="K1069" s="56"/>
    </row>
    <row r="1070" spans="1:11" ht="12.75">
      <c r="A1070" s="57">
        <v>5</v>
      </c>
      <c r="B1070" s="56" t="s">
        <v>336</v>
      </c>
      <c r="C1070" s="57" t="s">
        <v>338</v>
      </c>
      <c r="D1070" s="56"/>
      <c r="E1070" s="56"/>
      <c r="F1070" s="56"/>
      <c r="G1070" s="56"/>
      <c r="H1070" s="56"/>
      <c r="I1070" s="56"/>
      <c r="J1070" s="56"/>
      <c r="K1070" s="56"/>
    </row>
    <row r="1071" spans="1:11" ht="12.75">
      <c r="A1071" s="56"/>
      <c r="B1071" s="56" t="s">
        <v>332</v>
      </c>
      <c r="C1071" s="57"/>
      <c r="D1071" s="56"/>
      <c r="E1071" s="56"/>
      <c r="F1071" s="56"/>
      <c r="G1071" s="56"/>
      <c r="H1071" s="56"/>
      <c r="I1071" s="56"/>
      <c r="J1071" s="56"/>
      <c r="K1071" s="56"/>
    </row>
    <row r="1072" spans="1:11" ht="12.7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</row>
    <row r="1073" spans="1:11" ht="12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</row>
    <row r="1074" spans="1:11" ht="12.75">
      <c r="A1074" s="54"/>
      <c r="B1074" s="54" t="s">
        <v>339</v>
      </c>
      <c r="C1074" s="54"/>
      <c r="D1074" s="54"/>
      <c r="E1074" s="54"/>
      <c r="F1074" s="54"/>
      <c r="G1074" s="54"/>
      <c r="H1074" s="54"/>
      <c r="I1074" s="54"/>
      <c r="J1074" s="54" t="s">
        <v>247</v>
      </c>
      <c r="K1074" s="54"/>
    </row>
    <row r="1092" spans="1:11" ht="12.75">
      <c r="A1092" s="54"/>
      <c r="B1092" s="54" t="s">
        <v>315</v>
      </c>
      <c r="C1092" s="54"/>
      <c r="D1092" s="54"/>
      <c r="E1092" s="54"/>
      <c r="F1092" s="54"/>
      <c r="G1092" s="54"/>
      <c r="H1092" s="54" t="s">
        <v>316</v>
      </c>
      <c r="I1092" s="54"/>
      <c r="J1092" s="54"/>
      <c r="K1092" s="54"/>
    </row>
    <row r="1093" spans="1:11" ht="12.75">
      <c r="A1093" s="54"/>
      <c r="B1093" s="54"/>
      <c r="C1093" s="54"/>
      <c r="D1093" s="54" t="s">
        <v>329</v>
      </c>
      <c r="E1093" s="54"/>
      <c r="F1093" s="54"/>
      <c r="G1093" s="54"/>
      <c r="H1093" s="54"/>
      <c r="I1093" s="54"/>
      <c r="J1093" s="54"/>
      <c r="K1093" s="54"/>
    </row>
    <row r="1094" spans="1:11" ht="12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8" t="s">
        <v>341</v>
      </c>
      <c r="K1094" s="58"/>
    </row>
    <row r="1095" spans="1:11" ht="12.75">
      <c r="A1095" s="209" t="s">
        <v>0</v>
      </c>
      <c r="B1095" s="209" t="s">
        <v>317</v>
      </c>
      <c r="C1095" s="209" t="s">
        <v>318</v>
      </c>
      <c r="D1095" s="209" t="s">
        <v>319</v>
      </c>
      <c r="E1095" s="212" t="s">
        <v>320</v>
      </c>
      <c r="F1095" s="213"/>
      <c r="G1095" s="213"/>
      <c r="H1095" s="213"/>
      <c r="I1095" s="214"/>
      <c r="J1095" s="209" t="s">
        <v>326</v>
      </c>
      <c r="K1095" s="209" t="s">
        <v>327</v>
      </c>
    </row>
    <row r="1096" spans="1:11" ht="12.75">
      <c r="A1096" s="210"/>
      <c r="B1096" s="210"/>
      <c r="C1096" s="210"/>
      <c r="D1096" s="210"/>
      <c r="E1096" s="212" t="s">
        <v>321</v>
      </c>
      <c r="F1096" s="214"/>
      <c r="G1096" s="212" t="s">
        <v>322</v>
      </c>
      <c r="H1096" s="214"/>
      <c r="I1096" s="209" t="s">
        <v>325</v>
      </c>
      <c r="J1096" s="210"/>
      <c r="K1096" s="210"/>
    </row>
    <row r="1097" spans="1:11" ht="56.25">
      <c r="A1097" s="211"/>
      <c r="B1097" s="211"/>
      <c r="C1097" s="211"/>
      <c r="D1097" s="211"/>
      <c r="E1097" s="55" t="s">
        <v>328</v>
      </c>
      <c r="F1097" s="55" t="s">
        <v>328</v>
      </c>
      <c r="G1097" s="55" t="s">
        <v>323</v>
      </c>
      <c r="H1097" s="55" t="s">
        <v>324</v>
      </c>
      <c r="I1097" s="211"/>
      <c r="J1097" s="211"/>
      <c r="K1097" s="211"/>
    </row>
    <row r="1098" spans="1:11" ht="12.75">
      <c r="A1098" s="53">
        <v>1</v>
      </c>
      <c r="B1098" s="53">
        <v>2</v>
      </c>
      <c r="C1098" s="53">
        <v>3</v>
      </c>
      <c r="D1098" s="53">
        <v>4</v>
      </c>
      <c r="E1098" s="53">
        <v>5</v>
      </c>
      <c r="F1098" s="53">
        <v>6</v>
      </c>
      <c r="G1098" s="53">
        <v>7</v>
      </c>
      <c r="H1098" s="53">
        <v>8</v>
      </c>
      <c r="I1098" s="53">
        <v>9</v>
      </c>
      <c r="J1098" s="53">
        <v>10</v>
      </c>
      <c r="K1098" s="53">
        <v>11</v>
      </c>
    </row>
    <row r="1099" spans="1:11" ht="12.7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</row>
    <row r="1100" spans="1:11" ht="12.75">
      <c r="A1100" s="57">
        <v>1</v>
      </c>
      <c r="B1100" s="56" t="s">
        <v>330</v>
      </c>
      <c r="C1100" s="57" t="s">
        <v>331</v>
      </c>
      <c r="D1100" s="56"/>
      <c r="E1100" s="56"/>
      <c r="F1100" s="56"/>
      <c r="G1100" s="56"/>
      <c r="H1100" s="56"/>
      <c r="I1100" s="56"/>
      <c r="J1100" s="56"/>
      <c r="K1100" s="56"/>
    </row>
    <row r="1101" spans="1:11" ht="12.75">
      <c r="A1101" s="57"/>
      <c r="B1101" s="56" t="s">
        <v>332</v>
      </c>
      <c r="C1101" s="57"/>
      <c r="D1101" s="56"/>
      <c r="E1101" s="56"/>
      <c r="F1101" s="56"/>
      <c r="G1101" s="56"/>
      <c r="H1101" s="56"/>
      <c r="I1101" s="56"/>
      <c r="J1101" s="56"/>
      <c r="K1101" s="56"/>
    </row>
    <row r="1102" spans="1:11" ht="12.75">
      <c r="A1102" s="57"/>
      <c r="B1102" s="56"/>
      <c r="C1102" s="54"/>
      <c r="D1102" s="56"/>
      <c r="E1102" s="56"/>
      <c r="F1102" s="56"/>
      <c r="G1102" s="56"/>
      <c r="H1102" s="56"/>
      <c r="I1102" s="56"/>
      <c r="J1102" s="56"/>
      <c r="K1102" s="56"/>
    </row>
    <row r="1103" spans="1:11" ht="12.75">
      <c r="A1103" s="57">
        <v>2</v>
      </c>
      <c r="B1103" s="56" t="s">
        <v>333</v>
      </c>
      <c r="C1103" s="57" t="s">
        <v>331</v>
      </c>
      <c r="D1103" s="56"/>
      <c r="E1103" s="56"/>
      <c r="F1103" s="56"/>
      <c r="G1103" s="56"/>
      <c r="H1103" s="56"/>
      <c r="I1103" s="56"/>
      <c r="J1103" s="56"/>
      <c r="K1103" s="56"/>
    </row>
    <row r="1104" spans="1:11" ht="12.75">
      <c r="A1104" s="57"/>
      <c r="B1104" s="56" t="s">
        <v>332</v>
      </c>
      <c r="C1104" s="57"/>
      <c r="D1104" s="56"/>
      <c r="E1104" s="56"/>
      <c r="F1104" s="56"/>
      <c r="G1104" s="56"/>
      <c r="H1104" s="56"/>
      <c r="I1104" s="56"/>
      <c r="J1104" s="56"/>
      <c r="K1104" s="56"/>
    </row>
    <row r="1105" spans="1:11" ht="12.75">
      <c r="A1105" s="57"/>
      <c r="B1105" s="56"/>
      <c r="C1105" s="57"/>
      <c r="D1105" s="56"/>
      <c r="E1105" s="56"/>
      <c r="F1105" s="56"/>
      <c r="G1105" s="56"/>
      <c r="H1105" s="56"/>
      <c r="I1105" s="56"/>
      <c r="J1105" s="56"/>
      <c r="K1105" s="56"/>
    </row>
    <row r="1106" spans="1:11" ht="12.75">
      <c r="A1106" s="57">
        <v>3</v>
      </c>
      <c r="B1106" s="56" t="s">
        <v>334</v>
      </c>
      <c r="C1106" s="57" t="s">
        <v>331</v>
      </c>
      <c r="D1106" s="56"/>
      <c r="E1106" s="56"/>
      <c r="F1106" s="56"/>
      <c r="G1106" s="56"/>
      <c r="H1106" s="56"/>
      <c r="I1106" s="56"/>
      <c r="J1106" s="56"/>
      <c r="K1106" s="56"/>
    </row>
    <row r="1107" spans="1:11" ht="12.75">
      <c r="A1107" s="57"/>
      <c r="B1107" s="56" t="s">
        <v>332</v>
      </c>
      <c r="C1107" s="57"/>
      <c r="D1107" s="56"/>
      <c r="E1107" s="56"/>
      <c r="F1107" s="56"/>
      <c r="G1107" s="56"/>
      <c r="H1107" s="56"/>
      <c r="I1107" s="56"/>
      <c r="J1107" s="56"/>
      <c r="K1107" s="56"/>
    </row>
    <row r="1108" spans="1:11" ht="12.75">
      <c r="A1108" s="57"/>
      <c r="B1108" s="56"/>
      <c r="C1108" s="57"/>
      <c r="D1108" s="56"/>
      <c r="E1108" s="56"/>
      <c r="F1108" s="56"/>
      <c r="G1108" s="56"/>
      <c r="H1108" s="56"/>
      <c r="I1108" s="56"/>
      <c r="J1108" s="56"/>
      <c r="K1108" s="56"/>
    </row>
    <row r="1109" spans="1:11" ht="12.75">
      <c r="A1109" s="57">
        <v>4</v>
      </c>
      <c r="B1109" s="56" t="s">
        <v>335</v>
      </c>
      <c r="C1109" s="57" t="s">
        <v>337</v>
      </c>
      <c r="D1109" s="56"/>
      <c r="E1109" s="56"/>
      <c r="F1109" s="56"/>
      <c r="G1109" s="56"/>
      <c r="H1109" s="56"/>
      <c r="I1109" s="56"/>
      <c r="J1109" s="56"/>
      <c r="K1109" s="56"/>
    </row>
    <row r="1110" spans="1:11" ht="12.75">
      <c r="A1110" s="57"/>
      <c r="B1110" s="56" t="s">
        <v>332</v>
      </c>
      <c r="C1110" s="57"/>
      <c r="D1110" s="56"/>
      <c r="E1110" s="56"/>
      <c r="F1110" s="56"/>
      <c r="G1110" s="56"/>
      <c r="H1110" s="56"/>
      <c r="I1110" s="56"/>
      <c r="J1110" s="56"/>
      <c r="K1110" s="56"/>
    </row>
    <row r="1111" spans="1:11" ht="12.75">
      <c r="A1111" s="57"/>
      <c r="B1111" s="56"/>
      <c r="C1111" s="57"/>
      <c r="D1111" s="56"/>
      <c r="E1111" s="56"/>
      <c r="F1111" s="56"/>
      <c r="G1111" s="56"/>
      <c r="H1111" s="56"/>
      <c r="I1111" s="56"/>
      <c r="J1111" s="56"/>
      <c r="K1111" s="56"/>
    </row>
    <row r="1112" spans="1:11" ht="12.75">
      <c r="A1112" s="57">
        <v>5</v>
      </c>
      <c r="B1112" s="56" t="s">
        <v>336</v>
      </c>
      <c r="C1112" s="57" t="s">
        <v>338</v>
      </c>
      <c r="D1112" s="56"/>
      <c r="E1112" s="56"/>
      <c r="F1112" s="56"/>
      <c r="G1112" s="56"/>
      <c r="H1112" s="56"/>
      <c r="I1112" s="56"/>
      <c r="J1112" s="56"/>
      <c r="K1112" s="56"/>
    </row>
    <row r="1113" spans="1:11" ht="12.75">
      <c r="A1113" s="56"/>
      <c r="B1113" s="56" t="s">
        <v>332</v>
      </c>
      <c r="C1113" s="57"/>
      <c r="D1113" s="56"/>
      <c r="E1113" s="56"/>
      <c r="F1113" s="56"/>
      <c r="G1113" s="56"/>
      <c r="H1113" s="56"/>
      <c r="I1113" s="56"/>
      <c r="J1113" s="56"/>
      <c r="K1113" s="56"/>
    </row>
    <row r="1114" spans="1:11" ht="12.7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</row>
    <row r="1115" spans="1:11" ht="12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</row>
    <row r="1116" spans="1:11" ht="12.75">
      <c r="A1116" s="54"/>
      <c r="B1116" s="54" t="s">
        <v>339</v>
      </c>
      <c r="C1116" s="54"/>
      <c r="D1116" s="54"/>
      <c r="E1116" s="54"/>
      <c r="F1116" s="54"/>
      <c r="G1116" s="54"/>
      <c r="H1116" s="54"/>
      <c r="I1116" s="54"/>
      <c r="J1116" s="54" t="s">
        <v>247</v>
      </c>
      <c r="K1116" s="54"/>
    </row>
    <row r="1134" spans="1:11" ht="12.75">
      <c r="A1134" s="54"/>
      <c r="B1134" s="54" t="s">
        <v>315</v>
      </c>
      <c r="C1134" s="54"/>
      <c r="D1134" s="54"/>
      <c r="E1134" s="54"/>
      <c r="F1134" s="54"/>
      <c r="G1134" s="54"/>
      <c r="H1134" s="54" t="s">
        <v>316</v>
      </c>
      <c r="I1134" s="54"/>
      <c r="J1134" s="54"/>
      <c r="K1134" s="54"/>
    </row>
    <row r="1135" spans="1:11" ht="12.75">
      <c r="A1135" s="54"/>
      <c r="B1135" s="54"/>
      <c r="C1135" s="54"/>
      <c r="D1135" s="54" t="s">
        <v>329</v>
      </c>
      <c r="E1135" s="54"/>
      <c r="F1135" s="54"/>
      <c r="G1135" s="54"/>
      <c r="H1135" s="54"/>
      <c r="I1135" s="54"/>
      <c r="J1135" s="54"/>
      <c r="K1135" s="54"/>
    </row>
    <row r="1136" spans="1:11" ht="12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8" t="s">
        <v>341</v>
      </c>
      <c r="K1136" s="58"/>
    </row>
    <row r="1137" spans="1:11" ht="12.75">
      <c r="A1137" s="209" t="s">
        <v>0</v>
      </c>
      <c r="B1137" s="209" t="s">
        <v>317</v>
      </c>
      <c r="C1137" s="209" t="s">
        <v>318</v>
      </c>
      <c r="D1137" s="209" t="s">
        <v>319</v>
      </c>
      <c r="E1137" s="212" t="s">
        <v>320</v>
      </c>
      <c r="F1137" s="213"/>
      <c r="G1137" s="213"/>
      <c r="H1137" s="213"/>
      <c r="I1137" s="214"/>
      <c r="J1137" s="209" t="s">
        <v>326</v>
      </c>
      <c r="K1137" s="209" t="s">
        <v>327</v>
      </c>
    </row>
    <row r="1138" spans="1:11" ht="12.75">
      <c r="A1138" s="210"/>
      <c r="B1138" s="210"/>
      <c r="C1138" s="210"/>
      <c r="D1138" s="210"/>
      <c r="E1138" s="212" t="s">
        <v>321</v>
      </c>
      <c r="F1138" s="214"/>
      <c r="G1138" s="212" t="s">
        <v>322</v>
      </c>
      <c r="H1138" s="214"/>
      <c r="I1138" s="209" t="s">
        <v>325</v>
      </c>
      <c r="J1138" s="210"/>
      <c r="K1138" s="210"/>
    </row>
    <row r="1139" spans="1:11" ht="56.25">
      <c r="A1139" s="211"/>
      <c r="B1139" s="211"/>
      <c r="C1139" s="211"/>
      <c r="D1139" s="211"/>
      <c r="E1139" s="55" t="s">
        <v>328</v>
      </c>
      <c r="F1139" s="55" t="s">
        <v>328</v>
      </c>
      <c r="G1139" s="55" t="s">
        <v>323</v>
      </c>
      <c r="H1139" s="55" t="s">
        <v>324</v>
      </c>
      <c r="I1139" s="211"/>
      <c r="J1139" s="211"/>
      <c r="K1139" s="211"/>
    </row>
    <row r="1140" spans="1:11" ht="12.75">
      <c r="A1140" s="53">
        <v>1</v>
      </c>
      <c r="B1140" s="53">
        <v>2</v>
      </c>
      <c r="C1140" s="53">
        <v>3</v>
      </c>
      <c r="D1140" s="53">
        <v>4</v>
      </c>
      <c r="E1140" s="53">
        <v>5</v>
      </c>
      <c r="F1140" s="53">
        <v>6</v>
      </c>
      <c r="G1140" s="53">
        <v>7</v>
      </c>
      <c r="H1140" s="53">
        <v>8</v>
      </c>
      <c r="I1140" s="53">
        <v>9</v>
      </c>
      <c r="J1140" s="53">
        <v>10</v>
      </c>
      <c r="K1140" s="53">
        <v>11</v>
      </c>
    </row>
    <row r="1141" spans="1:11" ht="12.7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</row>
    <row r="1142" spans="1:11" ht="12.75">
      <c r="A1142" s="57">
        <v>1</v>
      </c>
      <c r="B1142" s="56" t="s">
        <v>330</v>
      </c>
      <c r="C1142" s="57" t="s">
        <v>331</v>
      </c>
      <c r="D1142" s="56"/>
      <c r="E1142" s="56"/>
      <c r="F1142" s="56"/>
      <c r="G1142" s="56"/>
      <c r="H1142" s="56"/>
      <c r="I1142" s="56"/>
      <c r="J1142" s="56"/>
      <c r="K1142" s="56"/>
    </row>
    <row r="1143" spans="1:11" ht="12.75">
      <c r="A1143" s="57"/>
      <c r="B1143" s="56" t="s">
        <v>332</v>
      </c>
      <c r="C1143" s="57"/>
      <c r="D1143" s="56"/>
      <c r="E1143" s="56"/>
      <c r="F1143" s="56"/>
      <c r="G1143" s="56"/>
      <c r="H1143" s="56"/>
      <c r="I1143" s="56"/>
      <c r="J1143" s="56"/>
      <c r="K1143" s="56"/>
    </row>
    <row r="1144" spans="1:11" ht="12.75">
      <c r="A1144" s="57"/>
      <c r="B1144" s="56"/>
      <c r="C1144" s="54"/>
      <c r="D1144" s="56"/>
      <c r="E1144" s="56"/>
      <c r="F1144" s="56"/>
      <c r="G1144" s="56"/>
      <c r="H1144" s="56"/>
      <c r="I1144" s="56"/>
      <c r="J1144" s="56"/>
      <c r="K1144" s="56"/>
    </row>
    <row r="1145" spans="1:11" ht="12.75">
      <c r="A1145" s="57">
        <v>2</v>
      </c>
      <c r="B1145" s="56" t="s">
        <v>333</v>
      </c>
      <c r="C1145" s="57" t="s">
        <v>331</v>
      </c>
      <c r="D1145" s="56"/>
      <c r="E1145" s="56"/>
      <c r="F1145" s="56"/>
      <c r="G1145" s="56"/>
      <c r="H1145" s="56"/>
      <c r="I1145" s="56"/>
      <c r="J1145" s="56"/>
      <c r="K1145" s="56"/>
    </row>
    <row r="1146" spans="1:11" ht="12.75">
      <c r="A1146" s="57"/>
      <c r="B1146" s="56" t="s">
        <v>332</v>
      </c>
      <c r="C1146" s="57"/>
      <c r="D1146" s="56"/>
      <c r="E1146" s="56"/>
      <c r="F1146" s="56"/>
      <c r="G1146" s="56"/>
      <c r="H1146" s="56"/>
      <c r="I1146" s="56"/>
      <c r="J1146" s="56"/>
      <c r="K1146" s="56"/>
    </row>
    <row r="1147" spans="1:11" ht="12.75">
      <c r="A1147" s="57"/>
      <c r="B1147" s="56"/>
      <c r="C1147" s="57"/>
      <c r="D1147" s="56"/>
      <c r="E1147" s="56"/>
      <c r="F1147" s="56"/>
      <c r="G1147" s="56"/>
      <c r="H1147" s="56"/>
      <c r="I1147" s="56"/>
      <c r="J1147" s="56"/>
      <c r="K1147" s="56"/>
    </row>
    <row r="1148" spans="1:11" ht="12.75">
      <c r="A1148" s="57">
        <v>3</v>
      </c>
      <c r="B1148" s="56" t="s">
        <v>334</v>
      </c>
      <c r="C1148" s="57" t="s">
        <v>331</v>
      </c>
      <c r="D1148" s="56"/>
      <c r="E1148" s="56"/>
      <c r="F1148" s="56"/>
      <c r="G1148" s="56"/>
      <c r="H1148" s="56"/>
      <c r="I1148" s="56"/>
      <c r="J1148" s="56"/>
      <c r="K1148" s="56"/>
    </row>
    <row r="1149" spans="1:11" ht="12.75">
      <c r="A1149" s="57"/>
      <c r="B1149" s="56" t="s">
        <v>332</v>
      </c>
      <c r="C1149" s="57"/>
      <c r="D1149" s="56"/>
      <c r="E1149" s="56"/>
      <c r="F1149" s="56"/>
      <c r="G1149" s="56"/>
      <c r="H1149" s="56"/>
      <c r="I1149" s="56"/>
      <c r="J1149" s="56"/>
      <c r="K1149" s="56"/>
    </row>
    <row r="1150" spans="1:11" ht="12.75">
      <c r="A1150" s="57"/>
      <c r="B1150" s="56"/>
      <c r="C1150" s="57"/>
      <c r="D1150" s="56"/>
      <c r="E1150" s="56"/>
      <c r="F1150" s="56"/>
      <c r="G1150" s="56"/>
      <c r="H1150" s="56"/>
      <c r="I1150" s="56"/>
      <c r="J1150" s="56"/>
      <c r="K1150" s="56"/>
    </row>
    <row r="1151" spans="1:11" ht="12.75">
      <c r="A1151" s="57">
        <v>4</v>
      </c>
      <c r="B1151" s="56" t="s">
        <v>335</v>
      </c>
      <c r="C1151" s="57" t="s">
        <v>337</v>
      </c>
      <c r="D1151" s="56"/>
      <c r="E1151" s="56"/>
      <c r="F1151" s="56"/>
      <c r="G1151" s="56"/>
      <c r="H1151" s="56"/>
      <c r="I1151" s="56"/>
      <c r="J1151" s="56"/>
      <c r="K1151" s="56"/>
    </row>
    <row r="1152" spans="1:11" ht="12.75">
      <c r="A1152" s="57"/>
      <c r="B1152" s="56" t="s">
        <v>332</v>
      </c>
      <c r="C1152" s="57"/>
      <c r="D1152" s="56"/>
      <c r="E1152" s="56"/>
      <c r="F1152" s="56"/>
      <c r="G1152" s="56"/>
      <c r="H1152" s="56"/>
      <c r="I1152" s="56"/>
      <c r="J1152" s="56"/>
      <c r="K1152" s="56"/>
    </row>
    <row r="1153" spans="1:11" ht="12.75">
      <c r="A1153" s="57"/>
      <c r="B1153" s="56"/>
      <c r="C1153" s="57"/>
      <c r="D1153" s="56"/>
      <c r="E1153" s="56"/>
      <c r="F1153" s="56"/>
      <c r="G1153" s="56"/>
      <c r="H1153" s="56"/>
      <c r="I1153" s="56"/>
      <c r="J1153" s="56"/>
      <c r="K1153" s="56"/>
    </row>
    <row r="1154" spans="1:11" ht="12.75">
      <c r="A1154" s="57">
        <v>5</v>
      </c>
      <c r="B1154" s="56" t="s">
        <v>336</v>
      </c>
      <c r="C1154" s="57" t="s">
        <v>338</v>
      </c>
      <c r="D1154" s="56"/>
      <c r="E1154" s="56"/>
      <c r="F1154" s="56"/>
      <c r="G1154" s="56"/>
      <c r="H1154" s="56"/>
      <c r="I1154" s="56"/>
      <c r="J1154" s="56"/>
      <c r="K1154" s="56"/>
    </row>
    <row r="1155" spans="1:11" ht="12.75">
      <c r="A1155" s="56"/>
      <c r="B1155" s="56" t="s">
        <v>332</v>
      </c>
      <c r="C1155" s="57"/>
      <c r="D1155" s="56"/>
      <c r="E1155" s="56"/>
      <c r="F1155" s="56"/>
      <c r="G1155" s="56"/>
      <c r="H1155" s="56"/>
      <c r="I1155" s="56"/>
      <c r="J1155" s="56"/>
      <c r="K1155" s="56"/>
    </row>
    <row r="1156" spans="1:11" ht="12.7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</row>
    <row r="1157" spans="1:11" ht="12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</row>
    <row r="1158" spans="1:11" ht="12.75">
      <c r="A1158" s="54"/>
      <c r="B1158" s="54" t="s">
        <v>339</v>
      </c>
      <c r="C1158" s="54"/>
      <c r="D1158" s="54"/>
      <c r="E1158" s="54"/>
      <c r="F1158" s="54"/>
      <c r="G1158" s="54"/>
      <c r="H1158" s="54"/>
      <c r="I1158" s="54"/>
      <c r="J1158" s="54" t="s">
        <v>247</v>
      </c>
      <c r="K1158" s="54"/>
    </row>
    <row r="1176" spans="1:11" ht="12.75">
      <c r="A1176" s="54"/>
      <c r="B1176" s="54" t="s">
        <v>315</v>
      </c>
      <c r="C1176" s="54"/>
      <c r="D1176" s="54"/>
      <c r="E1176" s="54"/>
      <c r="F1176" s="54"/>
      <c r="G1176" s="54"/>
      <c r="H1176" s="54" t="s">
        <v>316</v>
      </c>
      <c r="I1176" s="54"/>
      <c r="J1176" s="54"/>
      <c r="K1176" s="54"/>
    </row>
    <row r="1177" spans="1:11" ht="12.75">
      <c r="A1177" s="54"/>
      <c r="B1177" s="54"/>
      <c r="C1177" s="54"/>
      <c r="D1177" s="54" t="s">
        <v>329</v>
      </c>
      <c r="E1177" s="54"/>
      <c r="F1177" s="54"/>
      <c r="G1177" s="54"/>
      <c r="H1177" s="54"/>
      <c r="I1177" s="54"/>
      <c r="J1177" s="54"/>
      <c r="K1177" s="54"/>
    </row>
    <row r="1178" spans="1:11" ht="12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8" t="s">
        <v>341</v>
      </c>
      <c r="K1178" s="58"/>
    </row>
    <row r="1179" spans="1:11" ht="12.75">
      <c r="A1179" s="209" t="s">
        <v>0</v>
      </c>
      <c r="B1179" s="209" t="s">
        <v>317</v>
      </c>
      <c r="C1179" s="209" t="s">
        <v>318</v>
      </c>
      <c r="D1179" s="209" t="s">
        <v>319</v>
      </c>
      <c r="E1179" s="212" t="s">
        <v>320</v>
      </c>
      <c r="F1179" s="213"/>
      <c r="G1179" s="213"/>
      <c r="H1179" s="213"/>
      <c r="I1179" s="214"/>
      <c r="J1179" s="209" t="s">
        <v>326</v>
      </c>
      <c r="K1179" s="209" t="s">
        <v>327</v>
      </c>
    </row>
    <row r="1180" spans="1:11" ht="12.75">
      <c r="A1180" s="210"/>
      <c r="B1180" s="210"/>
      <c r="C1180" s="210"/>
      <c r="D1180" s="210"/>
      <c r="E1180" s="212" t="s">
        <v>321</v>
      </c>
      <c r="F1180" s="214"/>
      <c r="G1180" s="212" t="s">
        <v>322</v>
      </c>
      <c r="H1180" s="214"/>
      <c r="I1180" s="209" t="s">
        <v>325</v>
      </c>
      <c r="J1180" s="210"/>
      <c r="K1180" s="210"/>
    </row>
    <row r="1181" spans="1:11" ht="56.25">
      <c r="A1181" s="211"/>
      <c r="B1181" s="211"/>
      <c r="C1181" s="211"/>
      <c r="D1181" s="211"/>
      <c r="E1181" s="55" t="s">
        <v>328</v>
      </c>
      <c r="F1181" s="55" t="s">
        <v>328</v>
      </c>
      <c r="G1181" s="55" t="s">
        <v>323</v>
      </c>
      <c r="H1181" s="55" t="s">
        <v>324</v>
      </c>
      <c r="I1181" s="211"/>
      <c r="J1181" s="211"/>
      <c r="K1181" s="211"/>
    </row>
    <row r="1182" spans="1:11" ht="12.75">
      <c r="A1182" s="53">
        <v>1</v>
      </c>
      <c r="B1182" s="53">
        <v>2</v>
      </c>
      <c r="C1182" s="53">
        <v>3</v>
      </c>
      <c r="D1182" s="53">
        <v>4</v>
      </c>
      <c r="E1182" s="53">
        <v>5</v>
      </c>
      <c r="F1182" s="53">
        <v>6</v>
      </c>
      <c r="G1182" s="53">
        <v>7</v>
      </c>
      <c r="H1182" s="53">
        <v>8</v>
      </c>
      <c r="I1182" s="53">
        <v>9</v>
      </c>
      <c r="J1182" s="53">
        <v>10</v>
      </c>
      <c r="K1182" s="53">
        <v>11</v>
      </c>
    </row>
    <row r="1183" spans="1:11" ht="12.7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</row>
    <row r="1184" spans="1:11" ht="12.75">
      <c r="A1184" s="57">
        <v>1</v>
      </c>
      <c r="B1184" s="56" t="s">
        <v>330</v>
      </c>
      <c r="C1184" s="57" t="s">
        <v>331</v>
      </c>
      <c r="D1184" s="56"/>
      <c r="E1184" s="56"/>
      <c r="F1184" s="56"/>
      <c r="G1184" s="56"/>
      <c r="H1184" s="56"/>
      <c r="I1184" s="56"/>
      <c r="J1184" s="56"/>
      <c r="K1184" s="56"/>
    </row>
    <row r="1185" spans="1:11" ht="12.75">
      <c r="A1185" s="57"/>
      <c r="B1185" s="56" t="s">
        <v>332</v>
      </c>
      <c r="C1185" s="57"/>
      <c r="D1185" s="56"/>
      <c r="E1185" s="56"/>
      <c r="F1185" s="56"/>
      <c r="G1185" s="56"/>
      <c r="H1185" s="56"/>
      <c r="I1185" s="56"/>
      <c r="J1185" s="56"/>
      <c r="K1185" s="56"/>
    </row>
    <row r="1186" spans="1:11" ht="12.75">
      <c r="A1186" s="57"/>
      <c r="B1186" s="56"/>
      <c r="C1186" s="54"/>
      <c r="D1186" s="56"/>
      <c r="E1186" s="56"/>
      <c r="F1186" s="56"/>
      <c r="G1186" s="56"/>
      <c r="H1186" s="56"/>
      <c r="I1186" s="56"/>
      <c r="J1186" s="56"/>
      <c r="K1186" s="56"/>
    </row>
    <row r="1187" spans="1:11" ht="12.75">
      <c r="A1187" s="57">
        <v>2</v>
      </c>
      <c r="B1187" s="56" t="s">
        <v>333</v>
      </c>
      <c r="C1187" s="57" t="s">
        <v>331</v>
      </c>
      <c r="D1187" s="56"/>
      <c r="E1187" s="56"/>
      <c r="F1187" s="56"/>
      <c r="G1187" s="56"/>
      <c r="H1187" s="56"/>
      <c r="I1187" s="56"/>
      <c r="J1187" s="56"/>
      <c r="K1187" s="56"/>
    </row>
    <row r="1188" spans="1:11" ht="12.75">
      <c r="A1188" s="57"/>
      <c r="B1188" s="56" t="s">
        <v>332</v>
      </c>
      <c r="C1188" s="57"/>
      <c r="D1188" s="56"/>
      <c r="E1188" s="56"/>
      <c r="F1188" s="56"/>
      <c r="G1188" s="56"/>
      <c r="H1188" s="56"/>
      <c r="I1188" s="56"/>
      <c r="J1188" s="56"/>
      <c r="K1188" s="56"/>
    </row>
    <row r="1189" spans="1:11" ht="12.75">
      <c r="A1189" s="57"/>
      <c r="B1189" s="56"/>
      <c r="C1189" s="57"/>
      <c r="D1189" s="56"/>
      <c r="E1189" s="56"/>
      <c r="F1189" s="56"/>
      <c r="G1189" s="56"/>
      <c r="H1189" s="56"/>
      <c r="I1189" s="56"/>
      <c r="J1189" s="56"/>
      <c r="K1189" s="56"/>
    </row>
    <row r="1190" spans="1:11" ht="12.75">
      <c r="A1190" s="57">
        <v>3</v>
      </c>
      <c r="B1190" s="56" t="s">
        <v>334</v>
      </c>
      <c r="C1190" s="57" t="s">
        <v>331</v>
      </c>
      <c r="D1190" s="56"/>
      <c r="E1190" s="56"/>
      <c r="F1190" s="56"/>
      <c r="G1190" s="56"/>
      <c r="H1190" s="56"/>
      <c r="I1190" s="56"/>
      <c r="J1190" s="56"/>
      <c r="K1190" s="56"/>
    </row>
    <row r="1191" spans="1:11" ht="12.75">
      <c r="A1191" s="57"/>
      <c r="B1191" s="56" t="s">
        <v>332</v>
      </c>
      <c r="C1191" s="57"/>
      <c r="D1191" s="56"/>
      <c r="E1191" s="56"/>
      <c r="F1191" s="56"/>
      <c r="G1191" s="56"/>
      <c r="H1191" s="56"/>
      <c r="I1191" s="56"/>
      <c r="J1191" s="56"/>
      <c r="K1191" s="56"/>
    </row>
    <row r="1192" spans="1:11" ht="12.75">
      <c r="A1192" s="57"/>
      <c r="B1192" s="56"/>
      <c r="C1192" s="57"/>
      <c r="D1192" s="56"/>
      <c r="E1192" s="56"/>
      <c r="F1192" s="56"/>
      <c r="G1192" s="56"/>
      <c r="H1192" s="56"/>
      <c r="I1192" s="56"/>
      <c r="J1192" s="56"/>
      <c r="K1192" s="56"/>
    </row>
    <row r="1193" spans="1:11" ht="12.75">
      <c r="A1193" s="57">
        <v>4</v>
      </c>
      <c r="B1193" s="56" t="s">
        <v>335</v>
      </c>
      <c r="C1193" s="57" t="s">
        <v>337</v>
      </c>
      <c r="D1193" s="56"/>
      <c r="E1193" s="56"/>
      <c r="F1193" s="56"/>
      <c r="G1193" s="56"/>
      <c r="H1193" s="56"/>
      <c r="I1193" s="56"/>
      <c r="J1193" s="56"/>
      <c r="K1193" s="56"/>
    </row>
    <row r="1194" spans="1:11" ht="12.75">
      <c r="A1194" s="57"/>
      <c r="B1194" s="56" t="s">
        <v>332</v>
      </c>
      <c r="C1194" s="57"/>
      <c r="D1194" s="56"/>
      <c r="E1194" s="56"/>
      <c r="F1194" s="56"/>
      <c r="G1194" s="56"/>
      <c r="H1194" s="56"/>
      <c r="I1194" s="56"/>
      <c r="J1194" s="56"/>
      <c r="K1194" s="56"/>
    </row>
    <row r="1195" spans="1:11" ht="12.75">
      <c r="A1195" s="57"/>
      <c r="B1195" s="56"/>
      <c r="C1195" s="57"/>
      <c r="D1195" s="56"/>
      <c r="E1195" s="56"/>
      <c r="F1195" s="56"/>
      <c r="G1195" s="56"/>
      <c r="H1195" s="56"/>
      <c r="I1195" s="56"/>
      <c r="J1195" s="56"/>
      <c r="K1195" s="56"/>
    </row>
    <row r="1196" spans="1:11" ht="12.75">
      <c r="A1196" s="57">
        <v>5</v>
      </c>
      <c r="B1196" s="56" t="s">
        <v>336</v>
      </c>
      <c r="C1196" s="57" t="s">
        <v>338</v>
      </c>
      <c r="D1196" s="56"/>
      <c r="E1196" s="56"/>
      <c r="F1196" s="56"/>
      <c r="G1196" s="56"/>
      <c r="H1196" s="56"/>
      <c r="I1196" s="56"/>
      <c r="J1196" s="56"/>
      <c r="K1196" s="56"/>
    </row>
    <row r="1197" spans="1:11" ht="12.75">
      <c r="A1197" s="56"/>
      <c r="B1197" s="56" t="s">
        <v>332</v>
      </c>
      <c r="C1197" s="57"/>
      <c r="D1197" s="56"/>
      <c r="E1197" s="56"/>
      <c r="F1197" s="56"/>
      <c r="G1197" s="56"/>
      <c r="H1197" s="56"/>
      <c r="I1197" s="56"/>
      <c r="J1197" s="56"/>
      <c r="K1197" s="56"/>
    </row>
    <row r="1198" spans="1:11" ht="12.7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</row>
    <row r="1199" spans="1:11" ht="12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</row>
    <row r="1200" spans="1:11" ht="12.75">
      <c r="A1200" s="54"/>
      <c r="B1200" s="54" t="s">
        <v>339</v>
      </c>
      <c r="C1200" s="54"/>
      <c r="D1200" s="54"/>
      <c r="E1200" s="54"/>
      <c r="F1200" s="54"/>
      <c r="G1200" s="54"/>
      <c r="H1200" s="54"/>
      <c r="I1200" s="54"/>
      <c r="J1200" s="54" t="s">
        <v>247</v>
      </c>
      <c r="K1200" s="54"/>
    </row>
    <row r="1218" spans="1:11" ht="12.75">
      <c r="A1218" s="54"/>
      <c r="B1218" s="54" t="s">
        <v>315</v>
      </c>
      <c r="C1218" s="54"/>
      <c r="D1218" s="54"/>
      <c r="E1218" s="54"/>
      <c r="F1218" s="54"/>
      <c r="G1218" s="54"/>
      <c r="H1218" s="54" t="s">
        <v>316</v>
      </c>
      <c r="I1218" s="54"/>
      <c r="J1218" s="54"/>
      <c r="K1218" s="54"/>
    </row>
    <row r="1219" spans="1:11" ht="12.75">
      <c r="A1219" s="54"/>
      <c r="B1219" s="54"/>
      <c r="C1219" s="54"/>
      <c r="D1219" s="54" t="s">
        <v>329</v>
      </c>
      <c r="E1219" s="54"/>
      <c r="F1219" s="54"/>
      <c r="G1219" s="54"/>
      <c r="H1219" s="54"/>
      <c r="I1219" s="54"/>
      <c r="J1219" s="54"/>
      <c r="K1219" s="54"/>
    </row>
    <row r="1220" spans="1:11" ht="12.75">
      <c r="A1220" s="54"/>
      <c r="B1220" s="54"/>
      <c r="C1220" s="54"/>
      <c r="D1220" s="54"/>
      <c r="E1220" s="54"/>
      <c r="F1220" s="54"/>
      <c r="G1220" s="54"/>
      <c r="H1220" s="54"/>
      <c r="I1220" s="54"/>
      <c r="J1220" s="58" t="s">
        <v>341</v>
      </c>
      <c r="K1220" s="58"/>
    </row>
    <row r="1221" spans="1:11" ht="12.75">
      <c r="A1221" s="209" t="s">
        <v>0</v>
      </c>
      <c r="B1221" s="209" t="s">
        <v>317</v>
      </c>
      <c r="C1221" s="209" t="s">
        <v>318</v>
      </c>
      <c r="D1221" s="209" t="s">
        <v>319</v>
      </c>
      <c r="E1221" s="212" t="s">
        <v>320</v>
      </c>
      <c r="F1221" s="213"/>
      <c r="G1221" s="213"/>
      <c r="H1221" s="213"/>
      <c r="I1221" s="214"/>
      <c r="J1221" s="209" t="s">
        <v>326</v>
      </c>
      <c r="K1221" s="209" t="s">
        <v>327</v>
      </c>
    </row>
    <row r="1222" spans="1:11" ht="12.75">
      <c r="A1222" s="210"/>
      <c r="B1222" s="210"/>
      <c r="C1222" s="210"/>
      <c r="D1222" s="210"/>
      <c r="E1222" s="212" t="s">
        <v>321</v>
      </c>
      <c r="F1222" s="214"/>
      <c r="G1222" s="212" t="s">
        <v>322</v>
      </c>
      <c r="H1222" s="214"/>
      <c r="I1222" s="209" t="s">
        <v>325</v>
      </c>
      <c r="J1222" s="210"/>
      <c r="K1222" s="210"/>
    </row>
    <row r="1223" spans="1:11" ht="56.25">
      <c r="A1223" s="211"/>
      <c r="B1223" s="211"/>
      <c r="C1223" s="211"/>
      <c r="D1223" s="211"/>
      <c r="E1223" s="55" t="s">
        <v>328</v>
      </c>
      <c r="F1223" s="55" t="s">
        <v>328</v>
      </c>
      <c r="G1223" s="55" t="s">
        <v>323</v>
      </c>
      <c r="H1223" s="55" t="s">
        <v>324</v>
      </c>
      <c r="I1223" s="211"/>
      <c r="J1223" s="211"/>
      <c r="K1223" s="211"/>
    </row>
    <row r="1224" spans="1:11" ht="12.75">
      <c r="A1224" s="53">
        <v>1</v>
      </c>
      <c r="B1224" s="53">
        <v>2</v>
      </c>
      <c r="C1224" s="53">
        <v>3</v>
      </c>
      <c r="D1224" s="53">
        <v>4</v>
      </c>
      <c r="E1224" s="53">
        <v>5</v>
      </c>
      <c r="F1224" s="53">
        <v>6</v>
      </c>
      <c r="G1224" s="53">
        <v>7</v>
      </c>
      <c r="H1224" s="53">
        <v>8</v>
      </c>
      <c r="I1224" s="53">
        <v>9</v>
      </c>
      <c r="J1224" s="53">
        <v>10</v>
      </c>
      <c r="K1224" s="53">
        <v>11</v>
      </c>
    </row>
    <row r="1225" spans="1:11" ht="12.7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</row>
    <row r="1226" spans="1:11" ht="12.75">
      <c r="A1226" s="57">
        <v>1</v>
      </c>
      <c r="B1226" s="56" t="s">
        <v>330</v>
      </c>
      <c r="C1226" s="57" t="s">
        <v>331</v>
      </c>
      <c r="D1226" s="56"/>
      <c r="E1226" s="56"/>
      <c r="F1226" s="56"/>
      <c r="G1226" s="56"/>
      <c r="H1226" s="56"/>
      <c r="I1226" s="56"/>
      <c r="J1226" s="56"/>
      <c r="K1226" s="56"/>
    </row>
    <row r="1227" spans="1:11" ht="12.75">
      <c r="A1227" s="57"/>
      <c r="B1227" s="56" t="s">
        <v>332</v>
      </c>
      <c r="C1227" s="57"/>
      <c r="D1227" s="56"/>
      <c r="E1227" s="56"/>
      <c r="F1227" s="56"/>
      <c r="G1227" s="56"/>
      <c r="H1227" s="56"/>
      <c r="I1227" s="56"/>
      <c r="J1227" s="56"/>
      <c r="K1227" s="56"/>
    </row>
    <row r="1228" spans="1:11" ht="12.75">
      <c r="A1228" s="57"/>
      <c r="B1228" s="56"/>
      <c r="C1228" s="54"/>
      <c r="D1228" s="56"/>
      <c r="E1228" s="56"/>
      <c r="F1228" s="56"/>
      <c r="G1228" s="56"/>
      <c r="H1228" s="56"/>
      <c r="I1228" s="56"/>
      <c r="J1228" s="56"/>
      <c r="K1228" s="56"/>
    </row>
    <row r="1229" spans="1:11" ht="12.75">
      <c r="A1229" s="57">
        <v>2</v>
      </c>
      <c r="B1229" s="56" t="s">
        <v>333</v>
      </c>
      <c r="C1229" s="57" t="s">
        <v>331</v>
      </c>
      <c r="D1229" s="56"/>
      <c r="E1229" s="56"/>
      <c r="F1229" s="56"/>
      <c r="G1229" s="56"/>
      <c r="H1229" s="56"/>
      <c r="I1229" s="56"/>
      <c r="J1229" s="56"/>
      <c r="K1229" s="56"/>
    </row>
    <row r="1230" spans="1:11" ht="12.75">
      <c r="A1230" s="57"/>
      <c r="B1230" s="56" t="s">
        <v>332</v>
      </c>
      <c r="C1230" s="57"/>
      <c r="D1230" s="56"/>
      <c r="E1230" s="56"/>
      <c r="F1230" s="56"/>
      <c r="G1230" s="56"/>
      <c r="H1230" s="56"/>
      <c r="I1230" s="56"/>
      <c r="J1230" s="56"/>
      <c r="K1230" s="56"/>
    </row>
    <row r="1231" spans="1:11" ht="12.75">
      <c r="A1231" s="57"/>
      <c r="B1231" s="56"/>
      <c r="C1231" s="57"/>
      <c r="D1231" s="56"/>
      <c r="E1231" s="56"/>
      <c r="F1231" s="56"/>
      <c r="G1231" s="56"/>
      <c r="H1231" s="56"/>
      <c r="I1231" s="56"/>
      <c r="J1231" s="56"/>
      <c r="K1231" s="56"/>
    </row>
    <row r="1232" spans="1:11" ht="12.75">
      <c r="A1232" s="57">
        <v>3</v>
      </c>
      <c r="B1232" s="56" t="s">
        <v>334</v>
      </c>
      <c r="C1232" s="57" t="s">
        <v>331</v>
      </c>
      <c r="D1232" s="56"/>
      <c r="E1232" s="56"/>
      <c r="F1232" s="56"/>
      <c r="G1232" s="56"/>
      <c r="H1232" s="56"/>
      <c r="I1232" s="56"/>
      <c r="J1232" s="56"/>
      <c r="K1232" s="56"/>
    </row>
    <row r="1233" spans="1:11" ht="12.75">
      <c r="A1233" s="57"/>
      <c r="B1233" s="56" t="s">
        <v>332</v>
      </c>
      <c r="C1233" s="57"/>
      <c r="D1233" s="56"/>
      <c r="E1233" s="56"/>
      <c r="F1233" s="56"/>
      <c r="G1233" s="56"/>
      <c r="H1233" s="56"/>
      <c r="I1233" s="56"/>
      <c r="J1233" s="56"/>
      <c r="K1233" s="56"/>
    </row>
    <row r="1234" spans="1:11" ht="12.75">
      <c r="A1234" s="57"/>
      <c r="B1234" s="56"/>
      <c r="C1234" s="57"/>
      <c r="D1234" s="56"/>
      <c r="E1234" s="56"/>
      <c r="F1234" s="56"/>
      <c r="G1234" s="56"/>
      <c r="H1234" s="56"/>
      <c r="I1234" s="56"/>
      <c r="J1234" s="56"/>
      <c r="K1234" s="56"/>
    </row>
    <row r="1235" spans="1:11" ht="12.75">
      <c r="A1235" s="57">
        <v>4</v>
      </c>
      <c r="B1235" s="56" t="s">
        <v>335</v>
      </c>
      <c r="C1235" s="57" t="s">
        <v>337</v>
      </c>
      <c r="D1235" s="56"/>
      <c r="E1235" s="56"/>
      <c r="F1235" s="56"/>
      <c r="G1235" s="56"/>
      <c r="H1235" s="56"/>
      <c r="I1235" s="56"/>
      <c r="J1235" s="56"/>
      <c r="K1235" s="56"/>
    </row>
    <row r="1236" spans="1:11" ht="12.75">
      <c r="A1236" s="57"/>
      <c r="B1236" s="56" t="s">
        <v>332</v>
      </c>
      <c r="C1236" s="57"/>
      <c r="D1236" s="56"/>
      <c r="E1236" s="56"/>
      <c r="F1236" s="56"/>
      <c r="G1236" s="56"/>
      <c r="H1236" s="56"/>
      <c r="I1236" s="56"/>
      <c r="J1236" s="56"/>
      <c r="K1236" s="56"/>
    </row>
    <row r="1237" spans="1:11" ht="12.75">
      <c r="A1237" s="57"/>
      <c r="B1237" s="56"/>
      <c r="C1237" s="57"/>
      <c r="D1237" s="56"/>
      <c r="E1237" s="56"/>
      <c r="F1237" s="56"/>
      <c r="G1237" s="56"/>
      <c r="H1237" s="56"/>
      <c r="I1237" s="56"/>
      <c r="J1237" s="56"/>
      <c r="K1237" s="56"/>
    </row>
    <row r="1238" spans="1:11" ht="12.75">
      <c r="A1238" s="57">
        <v>5</v>
      </c>
      <c r="B1238" s="56" t="s">
        <v>336</v>
      </c>
      <c r="C1238" s="57" t="s">
        <v>338</v>
      </c>
      <c r="D1238" s="56"/>
      <c r="E1238" s="56"/>
      <c r="F1238" s="56"/>
      <c r="G1238" s="56"/>
      <c r="H1238" s="56"/>
      <c r="I1238" s="56"/>
      <c r="J1238" s="56"/>
      <c r="K1238" s="56"/>
    </row>
    <row r="1239" spans="1:11" ht="12.75">
      <c r="A1239" s="56"/>
      <c r="B1239" s="56" t="s">
        <v>332</v>
      </c>
      <c r="C1239" s="57"/>
      <c r="D1239" s="56"/>
      <c r="E1239" s="56"/>
      <c r="F1239" s="56"/>
      <c r="G1239" s="56"/>
      <c r="H1239" s="56"/>
      <c r="I1239" s="56"/>
      <c r="J1239" s="56"/>
      <c r="K1239" s="56"/>
    </row>
    <row r="1240" spans="1:11" ht="12.7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</row>
    <row r="1241" spans="1:11" ht="12.75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</row>
    <row r="1242" spans="1:11" ht="12.75">
      <c r="A1242" s="54"/>
      <c r="B1242" s="54" t="s">
        <v>339</v>
      </c>
      <c r="C1242" s="54"/>
      <c r="D1242" s="54"/>
      <c r="E1242" s="54"/>
      <c r="F1242" s="54"/>
      <c r="G1242" s="54"/>
      <c r="H1242" s="54"/>
      <c r="I1242" s="54"/>
      <c r="J1242" s="54" t="s">
        <v>247</v>
      </c>
      <c r="K1242" s="54"/>
    </row>
    <row r="1260" spans="1:11" ht="12.75">
      <c r="A1260" s="54"/>
      <c r="B1260" s="54" t="s">
        <v>315</v>
      </c>
      <c r="C1260" s="54"/>
      <c r="D1260" s="54"/>
      <c r="E1260" s="54"/>
      <c r="F1260" s="54"/>
      <c r="G1260" s="54"/>
      <c r="H1260" s="54" t="s">
        <v>316</v>
      </c>
      <c r="I1260" s="54"/>
      <c r="J1260" s="54"/>
      <c r="K1260" s="54"/>
    </row>
    <row r="1261" spans="1:11" ht="12.75">
      <c r="A1261" s="54"/>
      <c r="B1261" s="54"/>
      <c r="C1261" s="54"/>
      <c r="D1261" s="54" t="s">
        <v>329</v>
      </c>
      <c r="E1261" s="54"/>
      <c r="F1261" s="54"/>
      <c r="G1261" s="54"/>
      <c r="H1261" s="54"/>
      <c r="I1261" s="54"/>
      <c r="J1261" s="54"/>
      <c r="K1261" s="54"/>
    </row>
    <row r="1262" spans="1:11" ht="12.75">
      <c r="A1262" s="54"/>
      <c r="B1262" s="54"/>
      <c r="C1262" s="54"/>
      <c r="D1262" s="54"/>
      <c r="E1262" s="54"/>
      <c r="F1262" s="54"/>
      <c r="G1262" s="54"/>
      <c r="H1262" s="54"/>
      <c r="I1262" s="54"/>
      <c r="J1262" s="58" t="s">
        <v>341</v>
      </c>
      <c r="K1262" s="58"/>
    </row>
    <row r="1263" spans="1:11" ht="12.75">
      <c r="A1263" s="209" t="s">
        <v>0</v>
      </c>
      <c r="B1263" s="209" t="s">
        <v>317</v>
      </c>
      <c r="C1263" s="209" t="s">
        <v>318</v>
      </c>
      <c r="D1263" s="209" t="s">
        <v>319</v>
      </c>
      <c r="E1263" s="212" t="s">
        <v>320</v>
      </c>
      <c r="F1263" s="213"/>
      <c r="G1263" s="213"/>
      <c r="H1263" s="213"/>
      <c r="I1263" s="214"/>
      <c r="J1263" s="209" t="s">
        <v>326</v>
      </c>
      <c r="K1263" s="209" t="s">
        <v>327</v>
      </c>
    </row>
    <row r="1264" spans="1:11" ht="12.75">
      <c r="A1264" s="210"/>
      <c r="B1264" s="210"/>
      <c r="C1264" s="210"/>
      <c r="D1264" s="210"/>
      <c r="E1264" s="212" t="s">
        <v>321</v>
      </c>
      <c r="F1264" s="214"/>
      <c r="G1264" s="212" t="s">
        <v>322</v>
      </c>
      <c r="H1264" s="214"/>
      <c r="I1264" s="209" t="s">
        <v>325</v>
      </c>
      <c r="J1264" s="210"/>
      <c r="K1264" s="210"/>
    </row>
    <row r="1265" spans="1:11" ht="56.25">
      <c r="A1265" s="211"/>
      <c r="B1265" s="211"/>
      <c r="C1265" s="211"/>
      <c r="D1265" s="211"/>
      <c r="E1265" s="55" t="s">
        <v>328</v>
      </c>
      <c r="F1265" s="55" t="s">
        <v>328</v>
      </c>
      <c r="G1265" s="55" t="s">
        <v>323</v>
      </c>
      <c r="H1265" s="55" t="s">
        <v>324</v>
      </c>
      <c r="I1265" s="211"/>
      <c r="J1265" s="211"/>
      <c r="K1265" s="211"/>
    </row>
    <row r="1266" spans="1:11" ht="12.75">
      <c r="A1266" s="53">
        <v>1</v>
      </c>
      <c r="B1266" s="53">
        <v>2</v>
      </c>
      <c r="C1266" s="53">
        <v>3</v>
      </c>
      <c r="D1266" s="53">
        <v>4</v>
      </c>
      <c r="E1266" s="53">
        <v>5</v>
      </c>
      <c r="F1266" s="53">
        <v>6</v>
      </c>
      <c r="G1266" s="53">
        <v>7</v>
      </c>
      <c r="H1266" s="53">
        <v>8</v>
      </c>
      <c r="I1266" s="53">
        <v>9</v>
      </c>
      <c r="J1266" s="53">
        <v>10</v>
      </c>
      <c r="K1266" s="53">
        <v>11</v>
      </c>
    </row>
    <row r="1267" spans="1:11" ht="12.7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</row>
    <row r="1268" spans="1:11" ht="12.75">
      <c r="A1268" s="57">
        <v>1</v>
      </c>
      <c r="B1268" s="56" t="s">
        <v>330</v>
      </c>
      <c r="C1268" s="57" t="s">
        <v>331</v>
      </c>
      <c r="D1268" s="56"/>
      <c r="E1268" s="56"/>
      <c r="F1268" s="56"/>
      <c r="G1268" s="56"/>
      <c r="H1268" s="56"/>
      <c r="I1268" s="56"/>
      <c r="J1268" s="56"/>
      <c r="K1268" s="56"/>
    </row>
    <row r="1269" spans="1:11" ht="12.75">
      <c r="A1269" s="57"/>
      <c r="B1269" s="56" t="s">
        <v>332</v>
      </c>
      <c r="C1269" s="57"/>
      <c r="D1269" s="56"/>
      <c r="E1269" s="56"/>
      <c r="F1269" s="56"/>
      <c r="G1269" s="56"/>
      <c r="H1269" s="56"/>
      <c r="I1269" s="56"/>
      <c r="J1269" s="56"/>
      <c r="K1269" s="56"/>
    </row>
    <row r="1270" spans="1:11" ht="12.75">
      <c r="A1270" s="57"/>
      <c r="B1270" s="56"/>
      <c r="C1270" s="54"/>
      <c r="D1270" s="56"/>
      <c r="E1270" s="56"/>
      <c r="F1270" s="56"/>
      <c r="G1270" s="56"/>
      <c r="H1270" s="56"/>
      <c r="I1270" s="56"/>
      <c r="J1270" s="56"/>
      <c r="K1270" s="56"/>
    </row>
    <row r="1271" spans="1:11" ht="12.75">
      <c r="A1271" s="57">
        <v>2</v>
      </c>
      <c r="B1271" s="56" t="s">
        <v>333</v>
      </c>
      <c r="C1271" s="57" t="s">
        <v>331</v>
      </c>
      <c r="D1271" s="56"/>
      <c r="E1271" s="56"/>
      <c r="F1271" s="56"/>
      <c r="G1271" s="56"/>
      <c r="H1271" s="56"/>
      <c r="I1271" s="56"/>
      <c r="J1271" s="56"/>
      <c r="K1271" s="56"/>
    </row>
    <row r="1272" spans="1:11" ht="12.75">
      <c r="A1272" s="57"/>
      <c r="B1272" s="56" t="s">
        <v>332</v>
      </c>
      <c r="C1272" s="57"/>
      <c r="D1272" s="56"/>
      <c r="E1272" s="56"/>
      <c r="F1272" s="56"/>
      <c r="G1272" s="56"/>
      <c r="H1272" s="56"/>
      <c r="I1272" s="56"/>
      <c r="J1272" s="56"/>
      <c r="K1272" s="56"/>
    </row>
    <row r="1273" spans="1:11" ht="12.75">
      <c r="A1273" s="57"/>
      <c r="B1273" s="56"/>
      <c r="C1273" s="57"/>
      <c r="D1273" s="56"/>
      <c r="E1273" s="56"/>
      <c r="F1273" s="56"/>
      <c r="G1273" s="56"/>
      <c r="H1273" s="56"/>
      <c r="I1273" s="56"/>
      <c r="J1273" s="56"/>
      <c r="K1273" s="56"/>
    </row>
    <row r="1274" spans="1:11" ht="12.75">
      <c r="A1274" s="57">
        <v>3</v>
      </c>
      <c r="B1274" s="56" t="s">
        <v>334</v>
      </c>
      <c r="C1274" s="57" t="s">
        <v>331</v>
      </c>
      <c r="D1274" s="56"/>
      <c r="E1274" s="56"/>
      <c r="F1274" s="56"/>
      <c r="G1274" s="56"/>
      <c r="H1274" s="56"/>
      <c r="I1274" s="56"/>
      <c r="J1274" s="56"/>
      <c r="K1274" s="56"/>
    </row>
    <row r="1275" spans="1:11" ht="12.75">
      <c r="A1275" s="57"/>
      <c r="B1275" s="56" t="s">
        <v>332</v>
      </c>
      <c r="C1275" s="57"/>
      <c r="D1275" s="56"/>
      <c r="E1275" s="56"/>
      <c r="F1275" s="56"/>
      <c r="G1275" s="56"/>
      <c r="H1275" s="56"/>
      <c r="I1275" s="56"/>
      <c r="J1275" s="56"/>
      <c r="K1275" s="56"/>
    </row>
    <row r="1276" spans="1:11" ht="12.75">
      <c r="A1276" s="57"/>
      <c r="B1276" s="56"/>
      <c r="C1276" s="57"/>
      <c r="D1276" s="56"/>
      <c r="E1276" s="56"/>
      <c r="F1276" s="56"/>
      <c r="G1276" s="56"/>
      <c r="H1276" s="56"/>
      <c r="I1276" s="56"/>
      <c r="J1276" s="56"/>
      <c r="K1276" s="56"/>
    </row>
    <row r="1277" spans="1:11" ht="12.75">
      <c r="A1277" s="57">
        <v>4</v>
      </c>
      <c r="B1277" s="56" t="s">
        <v>335</v>
      </c>
      <c r="C1277" s="57" t="s">
        <v>337</v>
      </c>
      <c r="D1277" s="56"/>
      <c r="E1277" s="56"/>
      <c r="F1277" s="56"/>
      <c r="G1277" s="56"/>
      <c r="H1277" s="56"/>
      <c r="I1277" s="56"/>
      <c r="J1277" s="56"/>
      <c r="K1277" s="56"/>
    </row>
    <row r="1278" spans="1:11" ht="12.75">
      <c r="A1278" s="57"/>
      <c r="B1278" s="56" t="s">
        <v>332</v>
      </c>
      <c r="C1278" s="57"/>
      <c r="D1278" s="56"/>
      <c r="E1278" s="56"/>
      <c r="F1278" s="56"/>
      <c r="G1278" s="56"/>
      <c r="H1278" s="56"/>
      <c r="I1278" s="56"/>
      <c r="J1278" s="56"/>
      <c r="K1278" s="56"/>
    </row>
    <row r="1279" spans="1:11" ht="12.75">
      <c r="A1279" s="57"/>
      <c r="B1279" s="56"/>
      <c r="C1279" s="57"/>
      <c r="D1279" s="56"/>
      <c r="E1279" s="56"/>
      <c r="F1279" s="56"/>
      <c r="G1279" s="56"/>
      <c r="H1279" s="56"/>
      <c r="I1279" s="56"/>
      <c r="J1279" s="56"/>
      <c r="K1279" s="56"/>
    </row>
    <row r="1280" spans="1:11" ht="12.75">
      <c r="A1280" s="57">
        <v>5</v>
      </c>
      <c r="B1280" s="56" t="s">
        <v>336</v>
      </c>
      <c r="C1280" s="57" t="s">
        <v>338</v>
      </c>
      <c r="D1280" s="56"/>
      <c r="E1280" s="56"/>
      <c r="F1280" s="56"/>
      <c r="G1280" s="56"/>
      <c r="H1280" s="56"/>
      <c r="I1280" s="56"/>
      <c r="J1280" s="56"/>
      <c r="K1280" s="56"/>
    </row>
    <row r="1281" spans="1:11" ht="12.75">
      <c r="A1281" s="56"/>
      <c r="B1281" s="56" t="s">
        <v>332</v>
      </c>
      <c r="C1281" s="57"/>
      <c r="D1281" s="56"/>
      <c r="E1281" s="56"/>
      <c r="F1281" s="56"/>
      <c r="G1281" s="56"/>
      <c r="H1281" s="56"/>
      <c r="I1281" s="56"/>
      <c r="J1281" s="56"/>
      <c r="K1281" s="56"/>
    </row>
    <row r="1282" spans="1:11" ht="12.7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</row>
    <row r="1283" spans="1:11" ht="12.75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</row>
    <row r="1284" spans="1:11" ht="12.75">
      <c r="A1284" s="54"/>
      <c r="B1284" s="54" t="s">
        <v>339</v>
      </c>
      <c r="C1284" s="54"/>
      <c r="D1284" s="54"/>
      <c r="E1284" s="54"/>
      <c r="F1284" s="54"/>
      <c r="G1284" s="54"/>
      <c r="H1284" s="54"/>
      <c r="I1284" s="54"/>
      <c r="J1284" s="54" t="s">
        <v>247</v>
      </c>
      <c r="K1284" s="54"/>
    </row>
    <row r="1302" spans="1:11" ht="12.75">
      <c r="A1302" s="54"/>
      <c r="B1302" s="54" t="s">
        <v>315</v>
      </c>
      <c r="C1302" s="54"/>
      <c r="D1302" s="54"/>
      <c r="E1302" s="54"/>
      <c r="F1302" s="54"/>
      <c r="G1302" s="54"/>
      <c r="H1302" s="54" t="s">
        <v>316</v>
      </c>
      <c r="I1302" s="54"/>
      <c r="J1302" s="54"/>
      <c r="K1302" s="54"/>
    </row>
    <row r="1303" spans="1:11" ht="12.75">
      <c r="A1303" s="54"/>
      <c r="B1303" s="54"/>
      <c r="C1303" s="54"/>
      <c r="D1303" s="54" t="s">
        <v>329</v>
      </c>
      <c r="E1303" s="54"/>
      <c r="F1303" s="54"/>
      <c r="G1303" s="54"/>
      <c r="H1303" s="54"/>
      <c r="I1303" s="54"/>
      <c r="J1303" s="54"/>
      <c r="K1303" s="54"/>
    </row>
    <row r="1304" spans="1:11" ht="12.75">
      <c r="A1304" s="54"/>
      <c r="B1304" s="54"/>
      <c r="C1304" s="54"/>
      <c r="D1304" s="54"/>
      <c r="E1304" s="54"/>
      <c r="F1304" s="54"/>
      <c r="G1304" s="54"/>
      <c r="H1304" s="54"/>
      <c r="I1304" s="54"/>
      <c r="J1304" s="58" t="s">
        <v>341</v>
      </c>
      <c r="K1304" s="58"/>
    </row>
    <row r="1305" spans="1:11" ht="12.75">
      <c r="A1305" s="209" t="s">
        <v>0</v>
      </c>
      <c r="B1305" s="209" t="s">
        <v>317</v>
      </c>
      <c r="C1305" s="209" t="s">
        <v>318</v>
      </c>
      <c r="D1305" s="209" t="s">
        <v>319</v>
      </c>
      <c r="E1305" s="212" t="s">
        <v>320</v>
      </c>
      <c r="F1305" s="213"/>
      <c r="G1305" s="213"/>
      <c r="H1305" s="213"/>
      <c r="I1305" s="214"/>
      <c r="J1305" s="209" t="s">
        <v>326</v>
      </c>
      <c r="K1305" s="209" t="s">
        <v>327</v>
      </c>
    </row>
    <row r="1306" spans="1:11" ht="12.75">
      <c r="A1306" s="210"/>
      <c r="B1306" s="210"/>
      <c r="C1306" s="210"/>
      <c r="D1306" s="210"/>
      <c r="E1306" s="212" t="s">
        <v>321</v>
      </c>
      <c r="F1306" s="214"/>
      <c r="G1306" s="212" t="s">
        <v>322</v>
      </c>
      <c r="H1306" s="214"/>
      <c r="I1306" s="209" t="s">
        <v>325</v>
      </c>
      <c r="J1306" s="210"/>
      <c r="K1306" s="210"/>
    </row>
    <row r="1307" spans="1:11" ht="56.25">
      <c r="A1307" s="211"/>
      <c r="B1307" s="211"/>
      <c r="C1307" s="211"/>
      <c r="D1307" s="211"/>
      <c r="E1307" s="55" t="s">
        <v>328</v>
      </c>
      <c r="F1307" s="55" t="s">
        <v>328</v>
      </c>
      <c r="G1307" s="55" t="s">
        <v>323</v>
      </c>
      <c r="H1307" s="55" t="s">
        <v>324</v>
      </c>
      <c r="I1307" s="211"/>
      <c r="J1307" s="211"/>
      <c r="K1307" s="211"/>
    </row>
    <row r="1308" spans="1:11" ht="12.75">
      <c r="A1308" s="53">
        <v>1</v>
      </c>
      <c r="B1308" s="53">
        <v>2</v>
      </c>
      <c r="C1308" s="53">
        <v>3</v>
      </c>
      <c r="D1308" s="53">
        <v>4</v>
      </c>
      <c r="E1308" s="53">
        <v>5</v>
      </c>
      <c r="F1308" s="53">
        <v>6</v>
      </c>
      <c r="G1308" s="53">
        <v>7</v>
      </c>
      <c r="H1308" s="53">
        <v>8</v>
      </c>
      <c r="I1308" s="53">
        <v>9</v>
      </c>
      <c r="J1308" s="53">
        <v>10</v>
      </c>
      <c r="K1308" s="53">
        <v>11</v>
      </c>
    </row>
    <row r="1309" spans="1:11" ht="12.7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</row>
    <row r="1310" spans="1:11" ht="12.75">
      <c r="A1310" s="57">
        <v>1</v>
      </c>
      <c r="B1310" s="56" t="s">
        <v>330</v>
      </c>
      <c r="C1310" s="57" t="s">
        <v>331</v>
      </c>
      <c r="D1310" s="56"/>
      <c r="E1310" s="56"/>
      <c r="F1310" s="56"/>
      <c r="G1310" s="56"/>
      <c r="H1310" s="56"/>
      <c r="I1310" s="56"/>
      <c r="J1310" s="56"/>
      <c r="K1310" s="56"/>
    </row>
    <row r="1311" spans="1:11" ht="12.75">
      <c r="A1311" s="57"/>
      <c r="B1311" s="56" t="s">
        <v>332</v>
      </c>
      <c r="C1311" s="57"/>
      <c r="D1311" s="56"/>
      <c r="E1311" s="56"/>
      <c r="F1311" s="56"/>
      <c r="G1311" s="56"/>
      <c r="H1311" s="56"/>
      <c r="I1311" s="56"/>
      <c r="J1311" s="56"/>
      <c r="K1311" s="56"/>
    </row>
    <row r="1312" spans="1:11" ht="12.75">
      <c r="A1312" s="57"/>
      <c r="B1312" s="56"/>
      <c r="C1312" s="54"/>
      <c r="D1312" s="56"/>
      <c r="E1312" s="56"/>
      <c r="F1312" s="56"/>
      <c r="G1312" s="56"/>
      <c r="H1312" s="56"/>
      <c r="I1312" s="56"/>
      <c r="J1312" s="56"/>
      <c r="K1312" s="56"/>
    </row>
    <row r="1313" spans="1:11" ht="12.75">
      <c r="A1313" s="57">
        <v>2</v>
      </c>
      <c r="B1313" s="56" t="s">
        <v>333</v>
      </c>
      <c r="C1313" s="57" t="s">
        <v>331</v>
      </c>
      <c r="D1313" s="56"/>
      <c r="E1313" s="56"/>
      <c r="F1313" s="56"/>
      <c r="G1313" s="56"/>
      <c r="H1313" s="56"/>
      <c r="I1313" s="56"/>
      <c r="J1313" s="56"/>
      <c r="K1313" s="56"/>
    </row>
    <row r="1314" spans="1:11" ht="12.75">
      <c r="A1314" s="57"/>
      <c r="B1314" s="56" t="s">
        <v>332</v>
      </c>
      <c r="C1314" s="57"/>
      <c r="D1314" s="56"/>
      <c r="E1314" s="56"/>
      <c r="F1314" s="56"/>
      <c r="G1314" s="56"/>
      <c r="H1314" s="56"/>
      <c r="I1314" s="56"/>
      <c r="J1314" s="56"/>
      <c r="K1314" s="56"/>
    </row>
    <row r="1315" spans="1:11" ht="12.75">
      <c r="A1315" s="57"/>
      <c r="B1315" s="56"/>
      <c r="C1315" s="57"/>
      <c r="D1315" s="56"/>
      <c r="E1315" s="56"/>
      <c r="F1315" s="56"/>
      <c r="G1315" s="56"/>
      <c r="H1315" s="56"/>
      <c r="I1315" s="56"/>
      <c r="J1315" s="56"/>
      <c r="K1315" s="56"/>
    </row>
    <row r="1316" spans="1:11" ht="12.75">
      <c r="A1316" s="57">
        <v>3</v>
      </c>
      <c r="B1316" s="56" t="s">
        <v>334</v>
      </c>
      <c r="C1316" s="57" t="s">
        <v>331</v>
      </c>
      <c r="D1316" s="56"/>
      <c r="E1316" s="56"/>
      <c r="F1316" s="56"/>
      <c r="G1316" s="56"/>
      <c r="H1316" s="56"/>
      <c r="I1316" s="56"/>
      <c r="J1316" s="56"/>
      <c r="K1316" s="56"/>
    </row>
    <row r="1317" spans="1:11" ht="12.75">
      <c r="A1317" s="57"/>
      <c r="B1317" s="56" t="s">
        <v>332</v>
      </c>
      <c r="C1317" s="57"/>
      <c r="D1317" s="56"/>
      <c r="E1317" s="56"/>
      <c r="F1317" s="56"/>
      <c r="G1317" s="56"/>
      <c r="H1317" s="56"/>
      <c r="I1317" s="56"/>
      <c r="J1317" s="56"/>
      <c r="K1317" s="56"/>
    </row>
    <row r="1318" spans="1:11" ht="12.75">
      <c r="A1318" s="57"/>
      <c r="B1318" s="56"/>
      <c r="C1318" s="57"/>
      <c r="D1318" s="56"/>
      <c r="E1318" s="56"/>
      <c r="F1318" s="56"/>
      <c r="G1318" s="56"/>
      <c r="H1318" s="56"/>
      <c r="I1318" s="56"/>
      <c r="J1318" s="56"/>
      <c r="K1318" s="56"/>
    </row>
    <row r="1319" spans="1:11" ht="12.75">
      <c r="A1319" s="57">
        <v>4</v>
      </c>
      <c r="B1319" s="56" t="s">
        <v>335</v>
      </c>
      <c r="C1319" s="57" t="s">
        <v>337</v>
      </c>
      <c r="D1319" s="56"/>
      <c r="E1319" s="56"/>
      <c r="F1319" s="56"/>
      <c r="G1319" s="56"/>
      <c r="H1319" s="56"/>
      <c r="I1319" s="56"/>
      <c r="J1319" s="56"/>
      <c r="K1319" s="56"/>
    </row>
    <row r="1320" spans="1:11" ht="12.75">
      <c r="A1320" s="57"/>
      <c r="B1320" s="56" t="s">
        <v>332</v>
      </c>
      <c r="C1320" s="57"/>
      <c r="D1320" s="56"/>
      <c r="E1320" s="56"/>
      <c r="F1320" s="56"/>
      <c r="G1320" s="56"/>
      <c r="H1320" s="56"/>
      <c r="I1320" s="56"/>
      <c r="J1320" s="56"/>
      <c r="K1320" s="56"/>
    </row>
    <row r="1321" spans="1:11" ht="12.75">
      <c r="A1321" s="57"/>
      <c r="B1321" s="56"/>
      <c r="C1321" s="57"/>
      <c r="D1321" s="56"/>
      <c r="E1321" s="56"/>
      <c r="F1321" s="56"/>
      <c r="G1321" s="56"/>
      <c r="H1321" s="56"/>
      <c r="I1321" s="56"/>
      <c r="J1321" s="56"/>
      <c r="K1321" s="56"/>
    </row>
    <row r="1322" spans="1:11" ht="12.75">
      <c r="A1322" s="57">
        <v>5</v>
      </c>
      <c r="B1322" s="56" t="s">
        <v>336</v>
      </c>
      <c r="C1322" s="57" t="s">
        <v>338</v>
      </c>
      <c r="D1322" s="56"/>
      <c r="E1322" s="56"/>
      <c r="F1322" s="56"/>
      <c r="G1322" s="56"/>
      <c r="H1322" s="56"/>
      <c r="I1322" s="56"/>
      <c r="J1322" s="56"/>
      <c r="K1322" s="56"/>
    </row>
    <row r="1323" spans="1:11" ht="12.75">
      <c r="A1323" s="56"/>
      <c r="B1323" s="56" t="s">
        <v>332</v>
      </c>
      <c r="C1323" s="57"/>
      <c r="D1323" s="56"/>
      <c r="E1323" s="56"/>
      <c r="F1323" s="56"/>
      <c r="G1323" s="56"/>
      <c r="H1323" s="56"/>
      <c r="I1323" s="56"/>
      <c r="J1323" s="56"/>
      <c r="K1323" s="56"/>
    </row>
    <row r="1324" spans="1:11" ht="12.7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</row>
    <row r="1325" spans="1:11" ht="12.75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</row>
    <row r="1326" spans="1:11" ht="12.75">
      <c r="A1326" s="54"/>
      <c r="B1326" s="54" t="s">
        <v>339</v>
      </c>
      <c r="C1326" s="54"/>
      <c r="D1326" s="54"/>
      <c r="E1326" s="54"/>
      <c r="F1326" s="54"/>
      <c r="G1326" s="54"/>
      <c r="H1326" s="54"/>
      <c r="I1326" s="54"/>
      <c r="J1326" s="54" t="s">
        <v>247</v>
      </c>
      <c r="K1326" s="54"/>
    </row>
    <row r="1344" spans="1:11" ht="12.75">
      <c r="A1344" s="54"/>
      <c r="B1344" s="54" t="s">
        <v>315</v>
      </c>
      <c r="C1344" s="54"/>
      <c r="D1344" s="54"/>
      <c r="E1344" s="54"/>
      <c r="F1344" s="54"/>
      <c r="G1344" s="54"/>
      <c r="H1344" s="54" t="s">
        <v>316</v>
      </c>
      <c r="I1344" s="54"/>
      <c r="J1344" s="54"/>
      <c r="K1344" s="54"/>
    </row>
    <row r="1345" spans="1:11" ht="12.75">
      <c r="A1345" s="54"/>
      <c r="B1345" s="54"/>
      <c r="C1345" s="54"/>
      <c r="D1345" s="54" t="s">
        <v>329</v>
      </c>
      <c r="E1345" s="54"/>
      <c r="F1345" s="54"/>
      <c r="G1345" s="54"/>
      <c r="H1345" s="54"/>
      <c r="I1345" s="54"/>
      <c r="J1345" s="54"/>
      <c r="K1345" s="54"/>
    </row>
    <row r="1346" spans="1:11" ht="12.75">
      <c r="A1346" s="54"/>
      <c r="B1346" s="54"/>
      <c r="C1346" s="54"/>
      <c r="D1346" s="54"/>
      <c r="E1346" s="54"/>
      <c r="F1346" s="54"/>
      <c r="G1346" s="54"/>
      <c r="H1346" s="54"/>
      <c r="I1346" s="54"/>
      <c r="J1346" s="58" t="s">
        <v>341</v>
      </c>
      <c r="K1346" s="58"/>
    </row>
    <row r="1347" spans="1:11" ht="12.75">
      <c r="A1347" s="209" t="s">
        <v>0</v>
      </c>
      <c r="B1347" s="209" t="s">
        <v>317</v>
      </c>
      <c r="C1347" s="209" t="s">
        <v>318</v>
      </c>
      <c r="D1347" s="209" t="s">
        <v>319</v>
      </c>
      <c r="E1347" s="212" t="s">
        <v>320</v>
      </c>
      <c r="F1347" s="213"/>
      <c r="G1347" s="213"/>
      <c r="H1347" s="213"/>
      <c r="I1347" s="214"/>
      <c r="J1347" s="209" t="s">
        <v>326</v>
      </c>
      <c r="K1347" s="209" t="s">
        <v>327</v>
      </c>
    </row>
    <row r="1348" spans="1:11" ht="12.75">
      <c r="A1348" s="210"/>
      <c r="B1348" s="210"/>
      <c r="C1348" s="210"/>
      <c r="D1348" s="210"/>
      <c r="E1348" s="212" t="s">
        <v>321</v>
      </c>
      <c r="F1348" s="214"/>
      <c r="G1348" s="212" t="s">
        <v>322</v>
      </c>
      <c r="H1348" s="214"/>
      <c r="I1348" s="209" t="s">
        <v>325</v>
      </c>
      <c r="J1348" s="210"/>
      <c r="K1348" s="210"/>
    </row>
    <row r="1349" spans="1:11" ht="56.25">
      <c r="A1349" s="211"/>
      <c r="B1349" s="211"/>
      <c r="C1349" s="211"/>
      <c r="D1349" s="211"/>
      <c r="E1349" s="55" t="s">
        <v>328</v>
      </c>
      <c r="F1349" s="55" t="s">
        <v>328</v>
      </c>
      <c r="G1349" s="55" t="s">
        <v>323</v>
      </c>
      <c r="H1349" s="55" t="s">
        <v>324</v>
      </c>
      <c r="I1349" s="211"/>
      <c r="J1349" s="211"/>
      <c r="K1349" s="211"/>
    </row>
    <row r="1350" spans="1:11" ht="12.75">
      <c r="A1350" s="53">
        <v>1</v>
      </c>
      <c r="B1350" s="53">
        <v>2</v>
      </c>
      <c r="C1350" s="53">
        <v>3</v>
      </c>
      <c r="D1350" s="53">
        <v>4</v>
      </c>
      <c r="E1350" s="53">
        <v>5</v>
      </c>
      <c r="F1350" s="53">
        <v>6</v>
      </c>
      <c r="G1350" s="53">
        <v>7</v>
      </c>
      <c r="H1350" s="53">
        <v>8</v>
      </c>
      <c r="I1350" s="53">
        <v>9</v>
      </c>
      <c r="J1350" s="53">
        <v>10</v>
      </c>
      <c r="K1350" s="53">
        <v>11</v>
      </c>
    </row>
    <row r="1351" spans="1:11" ht="12.7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</row>
    <row r="1352" spans="1:11" ht="12.75">
      <c r="A1352" s="57">
        <v>1</v>
      </c>
      <c r="B1352" s="56" t="s">
        <v>330</v>
      </c>
      <c r="C1352" s="57" t="s">
        <v>331</v>
      </c>
      <c r="D1352" s="56"/>
      <c r="E1352" s="56"/>
      <c r="F1352" s="56"/>
      <c r="G1352" s="56"/>
      <c r="H1352" s="56"/>
      <c r="I1352" s="56"/>
      <c r="J1352" s="56"/>
      <c r="K1352" s="56"/>
    </row>
    <row r="1353" spans="1:11" ht="12.75">
      <c r="A1353" s="57"/>
      <c r="B1353" s="56" t="s">
        <v>332</v>
      </c>
      <c r="C1353" s="57"/>
      <c r="D1353" s="56"/>
      <c r="E1353" s="56"/>
      <c r="F1353" s="56"/>
      <c r="G1353" s="56"/>
      <c r="H1353" s="56"/>
      <c r="I1353" s="56"/>
      <c r="J1353" s="56"/>
      <c r="K1353" s="56"/>
    </row>
    <row r="1354" spans="1:11" ht="12.75">
      <c r="A1354" s="57"/>
      <c r="B1354" s="56"/>
      <c r="C1354" s="54"/>
      <c r="D1354" s="56"/>
      <c r="E1354" s="56"/>
      <c r="F1354" s="56"/>
      <c r="G1354" s="56"/>
      <c r="H1354" s="56"/>
      <c r="I1354" s="56"/>
      <c r="J1354" s="56"/>
      <c r="K1354" s="56"/>
    </row>
    <row r="1355" spans="1:11" ht="12.75">
      <c r="A1355" s="57">
        <v>2</v>
      </c>
      <c r="B1355" s="56" t="s">
        <v>333</v>
      </c>
      <c r="C1355" s="57" t="s">
        <v>331</v>
      </c>
      <c r="D1355" s="56"/>
      <c r="E1355" s="56"/>
      <c r="F1355" s="56"/>
      <c r="G1355" s="56"/>
      <c r="H1355" s="56"/>
      <c r="I1355" s="56"/>
      <c r="J1355" s="56"/>
      <c r="K1355" s="56"/>
    </row>
    <row r="1356" spans="1:11" ht="12.75">
      <c r="A1356" s="57"/>
      <c r="B1356" s="56" t="s">
        <v>332</v>
      </c>
      <c r="C1356" s="57"/>
      <c r="D1356" s="56"/>
      <c r="E1356" s="56"/>
      <c r="F1356" s="56"/>
      <c r="G1356" s="56"/>
      <c r="H1356" s="56"/>
      <c r="I1356" s="56"/>
      <c r="J1356" s="56"/>
      <c r="K1356" s="56"/>
    </row>
    <row r="1357" spans="1:11" ht="12.75">
      <c r="A1357" s="57"/>
      <c r="B1357" s="56"/>
      <c r="C1357" s="57"/>
      <c r="D1357" s="56"/>
      <c r="E1357" s="56"/>
      <c r="F1357" s="56"/>
      <c r="G1357" s="56"/>
      <c r="H1357" s="56"/>
      <c r="I1357" s="56"/>
      <c r="J1357" s="56"/>
      <c r="K1357" s="56"/>
    </row>
    <row r="1358" spans="1:11" ht="12.75">
      <c r="A1358" s="57">
        <v>3</v>
      </c>
      <c r="B1358" s="56" t="s">
        <v>334</v>
      </c>
      <c r="C1358" s="57" t="s">
        <v>331</v>
      </c>
      <c r="D1358" s="56"/>
      <c r="E1358" s="56"/>
      <c r="F1358" s="56"/>
      <c r="G1358" s="56"/>
      <c r="H1358" s="56"/>
      <c r="I1358" s="56"/>
      <c r="J1358" s="56"/>
      <c r="K1358" s="56"/>
    </row>
    <row r="1359" spans="1:11" ht="12.75">
      <c r="A1359" s="57"/>
      <c r="B1359" s="56" t="s">
        <v>332</v>
      </c>
      <c r="C1359" s="57"/>
      <c r="D1359" s="56"/>
      <c r="E1359" s="56"/>
      <c r="F1359" s="56"/>
      <c r="G1359" s="56"/>
      <c r="H1359" s="56"/>
      <c r="I1359" s="56"/>
      <c r="J1359" s="56"/>
      <c r="K1359" s="56"/>
    </row>
    <row r="1360" spans="1:11" ht="12.75">
      <c r="A1360" s="57"/>
      <c r="B1360" s="56"/>
      <c r="C1360" s="57"/>
      <c r="D1360" s="56"/>
      <c r="E1360" s="56"/>
      <c r="F1360" s="56"/>
      <c r="G1360" s="56"/>
      <c r="H1360" s="56"/>
      <c r="I1360" s="56"/>
      <c r="J1360" s="56"/>
      <c r="K1360" s="56"/>
    </row>
    <row r="1361" spans="1:11" ht="12.75">
      <c r="A1361" s="57">
        <v>4</v>
      </c>
      <c r="B1361" s="56" t="s">
        <v>335</v>
      </c>
      <c r="C1361" s="57" t="s">
        <v>337</v>
      </c>
      <c r="D1361" s="56"/>
      <c r="E1361" s="56"/>
      <c r="F1361" s="56"/>
      <c r="G1361" s="56"/>
      <c r="H1361" s="56"/>
      <c r="I1361" s="56"/>
      <c r="J1361" s="56"/>
      <c r="K1361" s="56"/>
    </row>
    <row r="1362" spans="1:11" ht="12.75">
      <c r="A1362" s="57"/>
      <c r="B1362" s="56" t="s">
        <v>332</v>
      </c>
      <c r="C1362" s="57"/>
      <c r="D1362" s="56"/>
      <c r="E1362" s="56"/>
      <c r="F1362" s="56"/>
      <c r="G1362" s="56"/>
      <c r="H1362" s="56"/>
      <c r="I1362" s="56"/>
      <c r="J1362" s="56"/>
      <c r="K1362" s="56"/>
    </row>
    <row r="1363" spans="1:11" ht="12.75">
      <c r="A1363" s="57"/>
      <c r="B1363" s="56"/>
      <c r="C1363" s="57"/>
      <c r="D1363" s="56"/>
      <c r="E1363" s="56"/>
      <c r="F1363" s="56"/>
      <c r="G1363" s="56"/>
      <c r="H1363" s="56"/>
      <c r="I1363" s="56"/>
      <c r="J1363" s="56"/>
      <c r="K1363" s="56"/>
    </row>
    <row r="1364" spans="1:11" ht="12.75">
      <c r="A1364" s="57">
        <v>5</v>
      </c>
      <c r="B1364" s="56" t="s">
        <v>336</v>
      </c>
      <c r="C1364" s="57" t="s">
        <v>338</v>
      </c>
      <c r="D1364" s="56"/>
      <c r="E1364" s="56"/>
      <c r="F1364" s="56"/>
      <c r="G1364" s="56"/>
      <c r="H1364" s="56"/>
      <c r="I1364" s="56"/>
      <c r="J1364" s="56"/>
      <c r="K1364" s="56"/>
    </row>
    <row r="1365" spans="1:11" ht="12.75">
      <c r="A1365" s="56"/>
      <c r="B1365" s="56" t="s">
        <v>332</v>
      </c>
      <c r="C1365" s="57"/>
      <c r="D1365" s="56"/>
      <c r="E1365" s="56"/>
      <c r="F1365" s="56"/>
      <c r="G1365" s="56"/>
      <c r="H1365" s="56"/>
      <c r="I1365" s="56"/>
      <c r="J1365" s="56"/>
      <c r="K1365" s="56"/>
    </row>
    <row r="1366" spans="1:11" ht="12.7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</row>
    <row r="1367" spans="1:11" ht="12.75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</row>
    <row r="1368" spans="1:11" ht="12.75">
      <c r="A1368" s="54"/>
      <c r="B1368" s="54" t="s">
        <v>339</v>
      </c>
      <c r="C1368" s="54"/>
      <c r="D1368" s="54"/>
      <c r="E1368" s="54"/>
      <c r="F1368" s="54"/>
      <c r="G1368" s="54"/>
      <c r="H1368" s="54"/>
      <c r="I1368" s="54"/>
      <c r="J1368" s="54" t="s">
        <v>247</v>
      </c>
      <c r="K1368" s="54"/>
    </row>
    <row r="1386" spans="1:11" ht="12.75">
      <c r="A1386" s="54"/>
      <c r="B1386" s="54" t="s">
        <v>315</v>
      </c>
      <c r="C1386" s="54"/>
      <c r="D1386" s="54"/>
      <c r="E1386" s="54"/>
      <c r="F1386" s="54"/>
      <c r="G1386" s="54"/>
      <c r="H1386" s="54" t="s">
        <v>316</v>
      </c>
      <c r="I1386" s="54"/>
      <c r="J1386" s="54"/>
      <c r="K1386" s="54"/>
    </row>
    <row r="1387" spans="1:11" ht="12.75">
      <c r="A1387" s="54"/>
      <c r="B1387" s="54"/>
      <c r="C1387" s="54"/>
      <c r="D1387" s="54" t="s">
        <v>329</v>
      </c>
      <c r="E1387" s="54"/>
      <c r="F1387" s="54"/>
      <c r="G1387" s="54"/>
      <c r="H1387" s="54"/>
      <c r="I1387" s="54"/>
      <c r="J1387" s="54"/>
      <c r="K1387" s="54"/>
    </row>
    <row r="1388" spans="1:11" ht="12.75">
      <c r="A1388" s="54"/>
      <c r="B1388" s="54"/>
      <c r="C1388" s="54"/>
      <c r="D1388" s="54"/>
      <c r="E1388" s="54"/>
      <c r="F1388" s="54"/>
      <c r="G1388" s="54"/>
      <c r="H1388" s="54"/>
      <c r="I1388" s="54"/>
      <c r="J1388" s="58" t="s">
        <v>341</v>
      </c>
      <c r="K1388" s="58"/>
    </row>
    <row r="1389" spans="1:11" ht="12.75">
      <c r="A1389" s="209" t="s">
        <v>0</v>
      </c>
      <c r="B1389" s="209" t="s">
        <v>317</v>
      </c>
      <c r="C1389" s="209" t="s">
        <v>318</v>
      </c>
      <c r="D1389" s="209" t="s">
        <v>319</v>
      </c>
      <c r="E1389" s="212" t="s">
        <v>320</v>
      </c>
      <c r="F1389" s="213"/>
      <c r="G1389" s="213"/>
      <c r="H1389" s="213"/>
      <c r="I1389" s="214"/>
      <c r="J1389" s="209" t="s">
        <v>326</v>
      </c>
      <c r="K1389" s="209" t="s">
        <v>327</v>
      </c>
    </row>
    <row r="1390" spans="1:11" ht="12.75">
      <c r="A1390" s="210"/>
      <c r="B1390" s="210"/>
      <c r="C1390" s="210"/>
      <c r="D1390" s="210"/>
      <c r="E1390" s="212" t="s">
        <v>321</v>
      </c>
      <c r="F1390" s="214"/>
      <c r="G1390" s="212" t="s">
        <v>322</v>
      </c>
      <c r="H1390" s="214"/>
      <c r="I1390" s="209" t="s">
        <v>325</v>
      </c>
      <c r="J1390" s="210"/>
      <c r="K1390" s="210"/>
    </row>
    <row r="1391" spans="1:11" ht="56.25">
      <c r="A1391" s="211"/>
      <c r="B1391" s="211"/>
      <c r="C1391" s="211"/>
      <c r="D1391" s="211"/>
      <c r="E1391" s="55" t="s">
        <v>328</v>
      </c>
      <c r="F1391" s="55" t="s">
        <v>328</v>
      </c>
      <c r="G1391" s="55" t="s">
        <v>323</v>
      </c>
      <c r="H1391" s="55" t="s">
        <v>324</v>
      </c>
      <c r="I1391" s="211"/>
      <c r="J1391" s="211"/>
      <c r="K1391" s="211"/>
    </row>
    <row r="1392" spans="1:11" ht="12.75">
      <c r="A1392" s="53">
        <v>1</v>
      </c>
      <c r="B1392" s="53">
        <v>2</v>
      </c>
      <c r="C1392" s="53">
        <v>3</v>
      </c>
      <c r="D1392" s="53">
        <v>4</v>
      </c>
      <c r="E1392" s="53">
        <v>5</v>
      </c>
      <c r="F1392" s="53">
        <v>6</v>
      </c>
      <c r="G1392" s="53">
        <v>7</v>
      </c>
      <c r="H1392" s="53">
        <v>8</v>
      </c>
      <c r="I1392" s="53">
        <v>9</v>
      </c>
      <c r="J1392" s="53">
        <v>10</v>
      </c>
      <c r="K1392" s="53">
        <v>11</v>
      </c>
    </row>
    <row r="1393" spans="1:11" ht="12.7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  <c r="K1393" s="56"/>
    </row>
    <row r="1394" spans="1:11" ht="12.75">
      <c r="A1394" s="57">
        <v>1</v>
      </c>
      <c r="B1394" s="56" t="s">
        <v>330</v>
      </c>
      <c r="C1394" s="57" t="s">
        <v>331</v>
      </c>
      <c r="D1394" s="56"/>
      <c r="E1394" s="56"/>
      <c r="F1394" s="56"/>
      <c r="G1394" s="56"/>
      <c r="H1394" s="56"/>
      <c r="I1394" s="56"/>
      <c r="J1394" s="56"/>
      <c r="K1394" s="56"/>
    </row>
    <row r="1395" spans="1:11" ht="12.75">
      <c r="A1395" s="57"/>
      <c r="B1395" s="56" t="s">
        <v>332</v>
      </c>
      <c r="C1395" s="57"/>
      <c r="D1395" s="56"/>
      <c r="E1395" s="56"/>
      <c r="F1395" s="56"/>
      <c r="G1395" s="56"/>
      <c r="H1395" s="56"/>
      <c r="I1395" s="56"/>
      <c r="J1395" s="56"/>
      <c r="K1395" s="56"/>
    </row>
    <row r="1396" spans="1:11" ht="12.75">
      <c r="A1396" s="57"/>
      <c r="B1396" s="56"/>
      <c r="C1396" s="54"/>
      <c r="D1396" s="56"/>
      <c r="E1396" s="56"/>
      <c r="F1396" s="56"/>
      <c r="G1396" s="56"/>
      <c r="H1396" s="56"/>
      <c r="I1396" s="56"/>
      <c r="J1396" s="56"/>
      <c r="K1396" s="56"/>
    </row>
    <row r="1397" spans="1:11" ht="12.75">
      <c r="A1397" s="57">
        <v>2</v>
      </c>
      <c r="B1397" s="56" t="s">
        <v>333</v>
      </c>
      <c r="C1397" s="57" t="s">
        <v>331</v>
      </c>
      <c r="D1397" s="56"/>
      <c r="E1397" s="56"/>
      <c r="F1397" s="56"/>
      <c r="G1397" s="56"/>
      <c r="H1397" s="56"/>
      <c r="I1397" s="56"/>
      <c r="J1397" s="56"/>
      <c r="K1397" s="56"/>
    </row>
    <row r="1398" spans="1:11" ht="12.75">
      <c r="A1398" s="57"/>
      <c r="B1398" s="56" t="s">
        <v>332</v>
      </c>
      <c r="C1398" s="57"/>
      <c r="D1398" s="56"/>
      <c r="E1398" s="56"/>
      <c r="F1398" s="56"/>
      <c r="G1398" s="56"/>
      <c r="H1398" s="56"/>
      <c r="I1398" s="56"/>
      <c r="J1398" s="56"/>
      <c r="K1398" s="56"/>
    </row>
    <row r="1399" spans="1:11" ht="12.75">
      <c r="A1399" s="57"/>
      <c r="B1399" s="56"/>
      <c r="C1399" s="57"/>
      <c r="D1399" s="56"/>
      <c r="E1399" s="56"/>
      <c r="F1399" s="56"/>
      <c r="G1399" s="56"/>
      <c r="H1399" s="56"/>
      <c r="I1399" s="56"/>
      <c r="J1399" s="56"/>
      <c r="K1399" s="56"/>
    </row>
    <row r="1400" spans="1:11" ht="12.75">
      <c r="A1400" s="57">
        <v>3</v>
      </c>
      <c r="B1400" s="56" t="s">
        <v>334</v>
      </c>
      <c r="C1400" s="57" t="s">
        <v>331</v>
      </c>
      <c r="D1400" s="56"/>
      <c r="E1400" s="56"/>
      <c r="F1400" s="56"/>
      <c r="G1400" s="56"/>
      <c r="H1400" s="56"/>
      <c r="I1400" s="56"/>
      <c r="J1400" s="56"/>
      <c r="K1400" s="56"/>
    </row>
    <row r="1401" spans="1:11" ht="12.75">
      <c r="A1401" s="57"/>
      <c r="B1401" s="56" t="s">
        <v>332</v>
      </c>
      <c r="C1401" s="57"/>
      <c r="D1401" s="56"/>
      <c r="E1401" s="56"/>
      <c r="F1401" s="56"/>
      <c r="G1401" s="56"/>
      <c r="H1401" s="56"/>
      <c r="I1401" s="56"/>
      <c r="J1401" s="56"/>
      <c r="K1401" s="56"/>
    </row>
    <row r="1402" spans="1:11" ht="12.75">
      <c r="A1402" s="57"/>
      <c r="B1402" s="56"/>
      <c r="C1402" s="57"/>
      <c r="D1402" s="56"/>
      <c r="E1402" s="56"/>
      <c r="F1402" s="56"/>
      <c r="G1402" s="56"/>
      <c r="H1402" s="56"/>
      <c r="I1402" s="56"/>
      <c r="J1402" s="56"/>
      <c r="K1402" s="56"/>
    </row>
    <row r="1403" spans="1:11" ht="12.75">
      <c r="A1403" s="57">
        <v>4</v>
      </c>
      <c r="B1403" s="56" t="s">
        <v>335</v>
      </c>
      <c r="C1403" s="57" t="s">
        <v>337</v>
      </c>
      <c r="D1403" s="56"/>
      <c r="E1403" s="56"/>
      <c r="F1403" s="56"/>
      <c r="G1403" s="56"/>
      <c r="H1403" s="56"/>
      <c r="I1403" s="56"/>
      <c r="J1403" s="56"/>
      <c r="K1403" s="56"/>
    </row>
    <row r="1404" spans="1:11" ht="12.75">
      <c r="A1404" s="57"/>
      <c r="B1404" s="56" t="s">
        <v>332</v>
      </c>
      <c r="C1404" s="57"/>
      <c r="D1404" s="56"/>
      <c r="E1404" s="56"/>
      <c r="F1404" s="56"/>
      <c r="G1404" s="56"/>
      <c r="H1404" s="56"/>
      <c r="I1404" s="56"/>
      <c r="J1404" s="56"/>
      <c r="K1404" s="56"/>
    </row>
    <row r="1405" spans="1:11" ht="12.75">
      <c r="A1405" s="57"/>
      <c r="B1405" s="56"/>
      <c r="C1405" s="57"/>
      <c r="D1405" s="56"/>
      <c r="E1405" s="56"/>
      <c r="F1405" s="56"/>
      <c r="G1405" s="56"/>
      <c r="H1405" s="56"/>
      <c r="I1405" s="56"/>
      <c r="J1405" s="56"/>
      <c r="K1405" s="56"/>
    </row>
    <row r="1406" spans="1:11" ht="12.75">
      <c r="A1406" s="57">
        <v>5</v>
      </c>
      <c r="B1406" s="56" t="s">
        <v>336</v>
      </c>
      <c r="C1406" s="57" t="s">
        <v>338</v>
      </c>
      <c r="D1406" s="56"/>
      <c r="E1406" s="56"/>
      <c r="F1406" s="56"/>
      <c r="G1406" s="56"/>
      <c r="H1406" s="56"/>
      <c r="I1406" s="56"/>
      <c r="J1406" s="56"/>
      <c r="K1406" s="56"/>
    </row>
    <row r="1407" spans="1:11" ht="12.75">
      <c r="A1407" s="56"/>
      <c r="B1407" s="56" t="s">
        <v>332</v>
      </c>
      <c r="C1407" s="57"/>
      <c r="D1407" s="56"/>
      <c r="E1407" s="56"/>
      <c r="F1407" s="56"/>
      <c r="G1407" s="56"/>
      <c r="H1407" s="56"/>
      <c r="I1407" s="56"/>
      <c r="J1407" s="56"/>
      <c r="K1407" s="56"/>
    </row>
    <row r="1408" spans="1:11" ht="12.7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  <c r="K1408" s="56"/>
    </row>
    <row r="1409" spans="1:11" ht="12.75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</row>
    <row r="1410" spans="1:11" ht="12.75">
      <c r="A1410" s="54"/>
      <c r="B1410" s="54" t="s">
        <v>339</v>
      </c>
      <c r="C1410" s="54"/>
      <c r="D1410" s="54"/>
      <c r="E1410" s="54"/>
      <c r="F1410" s="54"/>
      <c r="G1410" s="54"/>
      <c r="H1410" s="54"/>
      <c r="I1410" s="54"/>
      <c r="J1410" s="54" t="s">
        <v>247</v>
      </c>
      <c r="K1410" s="54"/>
    </row>
    <row r="1428" spans="1:11" ht="12.75">
      <c r="A1428" s="54"/>
      <c r="B1428" s="54" t="s">
        <v>315</v>
      </c>
      <c r="C1428" s="54"/>
      <c r="D1428" s="54"/>
      <c r="E1428" s="54"/>
      <c r="F1428" s="54"/>
      <c r="G1428" s="54"/>
      <c r="H1428" s="54" t="s">
        <v>316</v>
      </c>
      <c r="I1428" s="54"/>
      <c r="J1428" s="54"/>
      <c r="K1428" s="54"/>
    </row>
    <row r="1429" spans="1:11" ht="12.75">
      <c r="A1429" s="54"/>
      <c r="B1429" s="54"/>
      <c r="C1429" s="54"/>
      <c r="D1429" s="54" t="s">
        <v>329</v>
      </c>
      <c r="E1429" s="54"/>
      <c r="F1429" s="54"/>
      <c r="G1429" s="54"/>
      <c r="H1429" s="54"/>
      <c r="I1429" s="54"/>
      <c r="J1429" s="54"/>
      <c r="K1429" s="54"/>
    </row>
    <row r="1430" spans="1:11" ht="12.75">
      <c r="A1430" s="54"/>
      <c r="B1430" s="54"/>
      <c r="C1430" s="54"/>
      <c r="D1430" s="54"/>
      <c r="E1430" s="54"/>
      <c r="F1430" s="54"/>
      <c r="G1430" s="54"/>
      <c r="H1430" s="54"/>
      <c r="I1430" s="54"/>
      <c r="J1430" s="58" t="s">
        <v>341</v>
      </c>
      <c r="K1430" s="58"/>
    </row>
    <row r="1431" spans="1:11" ht="12.75">
      <c r="A1431" s="209" t="s">
        <v>0</v>
      </c>
      <c r="B1431" s="209" t="s">
        <v>317</v>
      </c>
      <c r="C1431" s="209" t="s">
        <v>318</v>
      </c>
      <c r="D1431" s="209" t="s">
        <v>319</v>
      </c>
      <c r="E1431" s="212" t="s">
        <v>320</v>
      </c>
      <c r="F1431" s="213"/>
      <c r="G1431" s="213"/>
      <c r="H1431" s="213"/>
      <c r="I1431" s="214"/>
      <c r="J1431" s="209" t="s">
        <v>326</v>
      </c>
      <c r="K1431" s="209" t="s">
        <v>327</v>
      </c>
    </row>
    <row r="1432" spans="1:11" ht="12.75">
      <c r="A1432" s="210"/>
      <c r="B1432" s="210"/>
      <c r="C1432" s="210"/>
      <c r="D1432" s="210"/>
      <c r="E1432" s="212" t="s">
        <v>321</v>
      </c>
      <c r="F1432" s="214"/>
      <c r="G1432" s="212" t="s">
        <v>322</v>
      </c>
      <c r="H1432" s="214"/>
      <c r="I1432" s="209" t="s">
        <v>325</v>
      </c>
      <c r="J1432" s="210"/>
      <c r="K1432" s="210"/>
    </row>
    <row r="1433" spans="1:11" ht="56.25">
      <c r="A1433" s="211"/>
      <c r="B1433" s="211"/>
      <c r="C1433" s="211"/>
      <c r="D1433" s="211"/>
      <c r="E1433" s="55" t="s">
        <v>328</v>
      </c>
      <c r="F1433" s="55" t="s">
        <v>328</v>
      </c>
      <c r="G1433" s="55" t="s">
        <v>323</v>
      </c>
      <c r="H1433" s="55" t="s">
        <v>324</v>
      </c>
      <c r="I1433" s="211"/>
      <c r="J1433" s="211"/>
      <c r="K1433" s="211"/>
    </row>
    <row r="1434" spans="1:11" ht="12.75">
      <c r="A1434" s="53">
        <v>1</v>
      </c>
      <c r="B1434" s="53">
        <v>2</v>
      </c>
      <c r="C1434" s="53">
        <v>3</v>
      </c>
      <c r="D1434" s="53">
        <v>4</v>
      </c>
      <c r="E1434" s="53">
        <v>5</v>
      </c>
      <c r="F1434" s="53">
        <v>6</v>
      </c>
      <c r="G1434" s="53">
        <v>7</v>
      </c>
      <c r="H1434" s="53">
        <v>8</v>
      </c>
      <c r="I1434" s="53">
        <v>9</v>
      </c>
      <c r="J1434" s="53">
        <v>10</v>
      </c>
      <c r="K1434" s="53">
        <v>11</v>
      </c>
    </row>
    <row r="1435" spans="1:11" ht="12.7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</row>
    <row r="1436" spans="1:11" ht="12.75">
      <c r="A1436" s="57">
        <v>1</v>
      </c>
      <c r="B1436" s="56" t="s">
        <v>330</v>
      </c>
      <c r="C1436" s="57" t="s">
        <v>331</v>
      </c>
      <c r="D1436" s="56"/>
      <c r="E1436" s="56"/>
      <c r="F1436" s="56"/>
      <c r="G1436" s="56"/>
      <c r="H1436" s="56"/>
      <c r="I1436" s="56"/>
      <c r="J1436" s="56"/>
      <c r="K1436" s="56"/>
    </row>
    <row r="1437" spans="1:11" ht="12.75">
      <c r="A1437" s="57"/>
      <c r="B1437" s="56" t="s">
        <v>332</v>
      </c>
      <c r="C1437" s="57"/>
      <c r="D1437" s="56"/>
      <c r="E1437" s="56"/>
      <c r="F1437" s="56"/>
      <c r="G1437" s="56"/>
      <c r="H1437" s="56"/>
      <c r="I1437" s="56"/>
      <c r="J1437" s="56"/>
      <c r="K1437" s="56"/>
    </row>
    <row r="1438" spans="1:11" ht="12.75">
      <c r="A1438" s="57"/>
      <c r="B1438" s="56"/>
      <c r="C1438" s="54"/>
      <c r="D1438" s="56"/>
      <c r="E1438" s="56"/>
      <c r="F1438" s="56"/>
      <c r="G1438" s="56"/>
      <c r="H1438" s="56"/>
      <c r="I1438" s="56"/>
      <c r="J1438" s="56"/>
      <c r="K1438" s="56"/>
    </row>
    <row r="1439" spans="1:11" ht="12.75">
      <c r="A1439" s="57">
        <v>2</v>
      </c>
      <c r="B1439" s="56" t="s">
        <v>333</v>
      </c>
      <c r="C1439" s="57" t="s">
        <v>331</v>
      </c>
      <c r="D1439" s="56"/>
      <c r="E1439" s="56"/>
      <c r="F1439" s="56"/>
      <c r="G1439" s="56"/>
      <c r="H1439" s="56"/>
      <c r="I1439" s="56"/>
      <c r="J1439" s="56"/>
      <c r="K1439" s="56"/>
    </row>
    <row r="1440" spans="1:11" ht="12.75">
      <c r="A1440" s="57"/>
      <c r="B1440" s="56" t="s">
        <v>332</v>
      </c>
      <c r="C1440" s="57"/>
      <c r="D1440" s="56"/>
      <c r="E1440" s="56"/>
      <c r="F1440" s="56"/>
      <c r="G1440" s="56"/>
      <c r="H1440" s="56"/>
      <c r="I1440" s="56"/>
      <c r="J1440" s="56"/>
      <c r="K1440" s="56"/>
    </row>
    <row r="1441" spans="1:11" ht="12.75">
      <c r="A1441" s="57"/>
      <c r="B1441" s="56"/>
      <c r="C1441" s="57"/>
      <c r="D1441" s="56"/>
      <c r="E1441" s="56"/>
      <c r="F1441" s="56"/>
      <c r="G1441" s="56"/>
      <c r="H1441" s="56"/>
      <c r="I1441" s="56"/>
      <c r="J1441" s="56"/>
      <c r="K1441" s="56"/>
    </row>
    <row r="1442" spans="1:11" ht="12.75">
      <c r="A1442" s="57">
        <v>3</v>
      </c>
      <c r="B1442" s="56" t="s">
        <v>334</v>
      </c>
      <c r="C1442" s="57" t="s">
        <v>331</v>
      </c>
      <c r="D1442" s="56"/>
      <c r="E1442" s="56"/>
      <c r="F1442" s="56"/>
      <c r="G1442" s="56"/>
      <c r="H1442" s="56"/>
      <c r="I1442" s="56"/>
      <c r="J1442" s="56"/>
      <c r="K1442" s="56"/>
    </row>
    <row r="1443" spans="1:11" ht="12.75">
      <c r="A1443" s="57"/>
      <c r="B1443" s="56" t="s">
        <v>332</v>
      </c>
      <c r="C1443" s="57"/>
      <c r="D1443" s="56"/>
      <c r="E1443" s="56"/>
      <c r="F1443" s="56"/>
      <c r="G1443" s="56"/>
      <c r="H1443" s="56"/>
      <c r="I1443" s="56"/>
      <c r="J1443" s="56"/>
      <c r="K1443" s="56"/>
    </row>
    <row r="1444" spans="1:11" ht="12.75">
      <c r="A1444" s="57"/>
      <c r="B1444" s="56"/>
      <c r="C1444" s="57"/>
      <c r="D1444" s="56"/>
      <c r="E1444" s="56"/>
      <c r="F1444" s="56"/>
      <c r="G1444" s="56"/>
      <c r="H1444" s="56"/>
      <c r="I1444" s="56"/>
      <c r="J1444" s="56"/>
      <c r="K1444" s="56"/>
    </row>
    <row r="1445" spans="1:11" ht="12.75">
      <c r="A1445" s="57">
        <v>4</v>
      </c>
      <c r="B1445" s="56" t="s">
        <v>335</v>
      </c>
      <c r="C1445" s="57" t="s">
        <v>337</v>
      </c>
      <c r="D1445" s="56"/>
      <c r="E1445" s="56"/>
      <c r="F1445" s="56"/>
      <c r="G1445" s="56"/>
      <c r="H1445" s="56"/>
      <c r="I1445" s="56"/>
      <c r="J1445" s="56"/>
      <c r="K1445" s="56"/>
    </row>
    <row r="1446" spans="1:11" ht="12.75">
      <c r="A1446" s="57"/>
      <c r="B1446" s="56" t="s">
        <v>332</v>
      </c>
      <c r="C1446" s="57"/>
      <c r="D1446" s="56"/>
      <c r="E1446" s="56"/>
      <c r="F1446" s="56"/>
      <c r="G1446" s="56"/>
      <c r="H1446" s="56"/>
      <c r="I1446" s="56"/>
      <c r="J1446" s="56"/>
      <c r="K1446" s="56"/>
    </row>
    <row r="1447" spans="1:11" ht="12.75">
      <c r="A1447" s="57"/>
      <c r="B1447" s="56"/>
      <c r="C1447" s="57"/>
      <c r="D1447" s="56"/>
      <c r="E1447" s="56"/>
      <c r="F1447" s="56"/>
      <c r="G1447" s="56"/>
      <c r="H1447" s="56"/>
      <c r="I1447" s="56"/>
      <c r="J1447" s="56"/>
      <c r="K1447" s="56"/>
    </row>
    <row r="1448" spans="1:11" ht="12.75">
      <c r="A1448" s="57">
        <v>5</v>
      </c>
      <c r="B1448" s="56" t="s">
        <v>336</v>
      </c>
      <c r="C1448" s="57" t="s">
        <v>338</v>
      </c>
      <c r="D1448" s="56"/>
      <c r="E1448" s="56"/>
      <c r="F1448" s="56"/>
      <c r="G1448" s="56"/>
      <c r="H1448" s="56"/>
      <c r="I1448" s="56"/>
      <c r="J1448" s="56"/>
      <c r="K1448" s="56"/>
    </row>
    <row r="1449" spans="1:11" ht="12.75">
      <c r="A1449" s="56"/>
      <c r="B1449" s="56" t="s">
        <v>332</v>
      </c>
      <c r="C1449" s="57"/>
      <c r="D1449" s="56"/>
      <c r="E1449" s="56"/>
      <c r="F1449" s="56"/>
      <c r="G1449" s="56"/>
      <c r="H1449" s="56"/>
      <c r="I1449" s="56"/>
      <c r="J1449" s="56"/>
      <c r="K1449" s="56"/>
    </row>
    <row r="1450" spans="1:11" ht="12.7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  <c r="K1450" s="56"/>
    </row>
    <row r="1451" spans="1:11" ht="12.75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</row>
    <row r="1452" spans="1:11" ht="12.75">
      <c r="A1452" s="54"/>
      <c r="B1452" s="54" t="s">
        <v>339</v>
      </c>
      <c r="C1452" s="54"/>
      <c r="D1452" s="54"/>
      <c r="E1452" s="54"/>
      <c r="F1452" s="54"/>
      <c r="G1452" s="54"/>
      <c r="H1452" s="54"/>
      <c r="I1452" s="54"/>
      <c r="J1452" s="54" t="s">
        <v>247</v>
      </c>
      <c r="K1452" s="54"/>
    </row>
    <row r="1470" spans="1:11" ht="12.75">
      <c r="A1470" s="54"/>
      <c r="B1470" s="54" t="s">
        <v>315</v>
      </c>
      <c r="C1470" s="54"/>
      <c r="D1470" s="54"/>
      <c r="E1470" s="54"/>
      <c r="F1470" s="54"/>
      <c r="G1470" s="54"/>
      <c r="H1470" s="54" t="s">
        <v>316</v>
      </c>
      <c r="I1470" s="54"/>
      <c r="J1470" s="54"/>
      <c r="K1470" s="54"/>
    </row>
    <row r="1471" spans="1:11" ht="12.75">
      <c r="A1471" s="54"/>
      <c r="B1471" s="54"/>
      <c r="C1471" s="54"/>
      <c r="D1471" s="54" t="s">
        <v>329</v>
      </c>
      <c r="E1471" s="54"/>
      <c r="F1471" s="54"/>
      <c r="G1471" s="54"/>
      <c r="H1471" s="54"/>
      <c r="I1471" s="54"/>
      <c r="J1471" s="54"/>
      <c r="K1471" s="54"/>
    </row>
    <row r="1472" spans="1:11" ht="12.75">
      <c r="A1472" s="54"/>
      <c r="B1472" s="54"/>
      <c r="C1472" s="54"/>
      <c r="D1472" s="54"/>
      <c r="E1472" s="54"/>
      <c r="F1472" s="54"/>
      <c r="G1472" s="54"/>
      <c r="H1472" s="54"/>
      <c r="I1472" s="54"/>
      <c r="J1472" s="58" t="s">
        <v>341</v>
      </c>
      <c r="K1472" s="58"/>
    </row>
    <row r="1473" spans="1:11" ht="12.75">
      <c r="A1473" s="209" t="s">
        <v>0</v>
      </c>
      <c r="B1473" s="209" t="s">
        <v>317</v>
      </c>
      <c r="C1473" s="209" t="s">
        <v>318</v>
      </c>
      <c r="D1473" s="209" t="s">
        <v>319</v>
      </c>
      <c r="E1473" s="212" t="s">
        <v>320</v>
      </c>
      <c r="F1473" s="213"/>
      <c r="G1473" s="213"/>
      <c r="H1473" s="213"/>
      <c r="I1473" s="214"/>
      <c r="J1473" s="209" t="s">
        <v>326</v>
      </c>
      <c r="K1473" s="209" t="s">
        <v>327</v>
      </c>
    </row>
    <row r="1474" spans="1:11" ht="12.75">
      <c r="A1474" s="210"/>
      <c r="B1474" s="210"/>
      <c r="C1474" s="210"/>
      <c r="D1474" s="210"/>
      <c r="E1474" s="212" t="s">
        <v>321</v>
      </c>
      <c r="F1474" s="214"/>
      <c r="G1474" s="212" t="s">
        <v>322</v>
      </c>
      <c r="H1474" s="214"/>
      <c r="I1474" s="209" t="s">
        <v>325</v>
      </c>
      <c r="J1474" s="210"/>
      <c r="K1474" s="210"/>
    </row>
    <row r="1475" spans="1:11" ht="56.25">
      <c r="A1475" s="211"/>
      <c r="B1475" s="211"/>
      <c r="C1475" s="211"/>
      <c r="D1475" s="211"/>
      <c r="E1475" s="55" t="s">
        <v>328</v>
      </c>
      <c r="F1475" s="55" t="s">
        <v>328</v>
      </c>
      <c r="G1475" s="55" t="s">
        <v>323</v>
      </c>
      <c r="H1475" s="55" t="s">
        <v>324</v>
      </c>
      <c r="I1475" s="211"/>
      <c r="J1475" s="211"/>
      <c r="K1475" s="211"/>
    </row>
    <row r="1476" spans="1:11" ht="12.75">
      <c r="A1476" s="53">
        <v>1</v>
      </c>
      <c r="B1476" s="53">
        <v>2</v>
      </c>
      <c r="C1476" s="53">
        <v>3</v>
      </c>
      <c r="D1476" s="53">
        <v>4</v>
      </c>
      <c r="E1476" s="53">
        <v>5</v>
      </c>
      <c r="F1476" s="53">
        <v>6</v>
      </c>
      <c r="G1476" s="53">
        <v>7</v>
      </c>
      <c r="H1476" s="53">
        <v>8</v>
      </c>
      <c r="I1476" s="53">
        <v>9</v>
      </c>
      <c r="J1476" s="53">
        <v>10</v>
      </c>
      <c r="K1476" s="53">
        <v>11</v>
      </c>
    </row>
    <row r="1477" spans="1:11" ht="12.7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</row>
    <row r="1478" spans="1:11" ht="12.75">
      <c r="A1478" s="57">
        <v>1</v>
      </c>
      <c r="B1478" s="56" t="s">
        <v>330</v>
      </c>
      <c r="C1478" s="57" t="s">
        <v>331</v>
      </c>
      <c r="D1478" s="56"/>
      <c r="E1478" s="56"/>
      <c r="F1478" s="56"/>
      <c r="G1478" s="56"/>
      <c r="H1478" s="56"/>
      <c r="I1478" s="56"/>
      <c r="J1478" s="56"/>
      <c r="K1478" s="56"/>
    </row>
    <row r="1479" spans="1:11" ht="12.75">
      <c r="A1479" s="57"/>
      <c r="B1479" s="56" t="s">
        <v>332</v>
      </c>
      <c r="C1479" s="57"/>
      <c r="D1479" s="56"/>
      <c r="E1479" s="56"/>
      <c r="F1479" s="56"/>
      <c r="G1479" s="56"/>
      <c r="H1479" s="56"/>
      <c r="I1479" s="56"/>
      <c r="J1479" s="56"/>
      <c r="K1479" s="56"/>
    </row>
    <row r="1480" spans="1:11" ht="12.75">
      <c r="A1480" s="57"/>
      <c r="B1480" s="56"/>
      <c r="C1480" s="54"/>
      <c r="D1480" s="56"/>
      <c r="E1480" s="56"/>
      <c r="F1480" s="56"/>
      <c r="G1480" s="56"/>
      <c r="H1480" s="56"/>
      <c r="I1480" s="56"/>
      <c r="J1480" s="56"/>
      <c r="K1480" s="56"/>
    </row>
    <row r="1481" spans="1:11" ht="12.75">
      <c r="A1481" s="57">
        <v>2</v>
      </c>
      <c r="B1481" s="56" t="s">
        <v>333</v>
      </c>
      <c r="C1481" s="57" t="s">
        <v>331</v>
      </c>
      <c r="D1481" s="56"/>
      <c r="E1481" s="56"/>
      <c r="F1481" s="56"/>
      <c r="G1481" s="56"/>
      <c r="H1481" s="56"/>
      <c r="I1481" s="56"/>
      <c r="J1481" s="56"/>
      <c r="K1481" s="56"/>
    </row>
    <row r="1482" spans="1:11" ht="12.75">
      <c r="A1482" s="57"/>
      <c r="B1482" s="56" t="s">
        <v>332</v>
      </c>
      <c r="C1482" s="57"/>
      <c r="D1482" s="56"/>
      <c r="E1482" s="56"/>
      <c r="F1482" s="56"/>
      <c r="G1482" s="56"/>
      <c r="H1482" s="56"/>
      <c r="I1482" s="56"/>
      <c r="J1482" s="56"/>
      <c r="K1482" s="56"/>
    </row>
    <row r="1483" spans="1:11" ht="12.75">
      <c r="A1483" s="57"/>
      <c r="B1483" s="56"/>
      <c r="C1483" s="57"/>
      <c r="D1483" s="56"/>
      <c r="E1483" s="56"/>
      <c r="F1483" s="56"/>
      <c r="G1483" s="56"/>
      <c r="H1483" s="56"/>
      <c r="I1483" s="56"/>
      <c r="J1483" s="56"/>
      <c r="K1483" s="56"/>
    </row>
    <row r="1484" spans="1:11" ht="12.75">
      <c r="A1484" s="57">
        <v>3</v>
      </c>
      <c r="B1484" s="56" t="s">
        <v>334</v>
      </c>
      <c r="C1484" s="57" t="s">
        <v>331</v>
      </c>
      <c r="D1484" s="56"/>
      <c r="E1484" s="56"/>
      <c r="F1484" s="56"/>
      <c r="G1484" s="56"/>
      <c r="H1484" s="56"/>
      <c r="I1484" s="56"/>
      <c r="J1484" s="56"/>
      <c r="K1484" s="56"/>
    </row>
    <row r="1485" spans="1:11" ht="12.75">
      <c r="A1485" s="57"/>
      <c r="B1485" s="56" t="s">
        <v>332</v>
      </c>
      <c r="C1485" s="57"/>
      <c r="D1485" s="56"/>
      <c r="E1485" s="56"/>
      <c r="F1485" s="56"/>
      <c r="G1485" s="56"/>
      <c r="H1485" s="56"/>
      <c r="I1485" s="56"/>
      <c r="J1485" s="56"/>
      <c r="K1485" s="56"/>
    </row>
    <row r="1486" spans="1:11" ht="12.75">
      <c r="A1486" s="57"/>
      <c r="B1486" s="56"/>
      <c r="C1486" s="57"/>
      <c r="D1486" s="56"/>
      <c r="E1486" s="56"/>
      <c r="F1486" s="56"/>
      <c r="G1486" s="56"/>
      <c r="H1486" s="56"/>
      <c r="I1486" s="56"/>
      <c r="J1486" s="56"/>
      <c r="K1486" s="56"/>
    </row>
    <row r="1487" spans="1:11" ht="12.75">
      <c r="A1487" s="57">
        <v>4</v>
      </c>
      <c r="B1487" s="56" t="s">
        <v>335</v>
      </c>
      <c r="C1487" s="57" t="s">
        <v>337</v>
      </c>
      <c r="D1487" s="56"/>
      <c r="E1487" s="56"/>
      <c r="F1487" s="56"/>
      <c r="G1487" s="56"/>
      <c r="H1487" s="56"/>
      <c r="I1487" s="56"/>
      <c r="J1487" s="56"/>
      <c r="K1487" s="56"/>
    </row>
    <row r="1488" spans="1:11" ht="12.75">
      <c r="A1488" s="57"/>
      <c r="B1488" s="56" t="s">
        <v>332</v>
      </c>
      <c r="C1488" s="57"/>
      <c r="D1488" s="56"/>
      <c r="E1488" s="56"/>
      <c r="F1488" s="56"/>
      <c r="G1488" s="56"/>
      <c r="H1488" s="56"/>
      <c r="I1488" s="56"/>
      <c r="J1488" s="56"/>
      <c r="K1488" s="56"/>
    </row>
    <row r="1489" spans="1:11" ht="12.75">
      <c r="A1489" s="57"/>
      <c r="B1489" s="56"/>
      <c r="C1489" s="57"/>
      <c r="D1489" s="56"/>
      <c r="E1489" s="56"/>
      <c r="F1489" s="56"/>
      <c r="G1489" s="56"/>
      <c r="H1489" s="56"/>
      <c r="I1489" s="56"/>
      <c r="J1489" s="56"/>
      <c r="K1489" s="56"/>
    </row>
    <row r="1490" spans="1:11" ht="12.75">
      <c r="A1490" s="57">
        <v>5</v>
      </c>
      <c r="B1490" s="56" t="s">
        <v>336</v>
      </c>
      <c r="C1490" s="57" t="s">
        <v>338</v>
      </c>
      <c r="D1490" s="56"/>
      <c r="E1490" s="56"/>
      <c r="F1490" s="56"/>
      <c r="G1490" s="56"/>
      <c r="H1490" s="56"/>
      <c r="I1490" s="56"/>
      <c r="J1490" s="56"/>
      <c r="K1490" s="56"/>
    </row>
    <row r="1491" spans="1:11" ht="12.75">
      <c r="A1491" s="56"/>
      <c r="B1491" s="56" t="s">
        <v>332</v>
      </c>
      <c r="C1491" s="57"/>
      <c r="D1491" s="56"/>
      <c r="E1491" s="56"/>
      <c r="F1491" s="56"/>
      <c r="G1491" s="56"/>
      <c r="H1491" s="56"/>
      <c r="I1491" s="56"/>
      <c r="J1491" s="56"/>
      <c r="K1491" s="56"/>
    </row>
    <row r="1492" spans="1:11" ht="12.7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  <c r="K1492" s="56"/>
    </row>
    <row r="1493" spans="1:11" ht="12.75">
      <c r="A1493" s="54"/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</row>
    <row r="1494" spans="1:11" ht="12.75">
      <c r="A1494" s="54"/>
      <c r="B1494" s="54" t="s">
        <v>339</v>
      </c>
      <c r="C1494" s="54"/>
      <c r="D1494" s="54"/>
      <c r="E1494" s="54"/>
      <c r="F1494" s="54"/>
      <c r="G1494" s="54"/>
      <c r="H1494" s="54"/>
      <c r="I1494" s="54"/>
      <c r="J1494" s="54" t="s">
        <v>247</v>
      </c>
      <c r="K1494" s="54"/>
    </row>
    <row r="1512" spans="1:11" ht="12.75">
      <c r="A1512" s="54"/>
      <c r="B1512" s="54" t="s">
        <v>315</v>
      </c>
      <c r="C1512" s="54"/>
      <c r="D1512" s="54"/>
      <c r="E1512" s="54"/>
      <c r="F1512" s="54"/>
      <c r="G1512" s="54"/>
      <c r="H1512" s="54" t="s">
        <v>316</v>
      </c>
      <c r="I1512" s="54"/>
      <c r="J1512" s="54"/>
      <c r="K1512" s="54"/>
    </row>
    <row r="1513" spans="1:11" ht="12.75">
      <c r="A1513" s="54"/>
      <c r="B1513" s="54"/>
      <c r="C1513" s="54"/>
      <c r="D1513" s="54" t="s">
        <v>329</v>
      </c>
      <c r="E1513" s="54"/>
      <c r="F1513" s="54"/>
      <c r="G1513" s="54"/>
      <c r="H1513" s="54"/>
      <c r="I1513" s="54"/>
      <c r="J1513" s="54"/>
      <c r="K1513" s="54"/>
    </row>
    <row r="1514" spans="1:11" ht="12.75">
      <c r="A1514" s="54"/>
      <c r="B1514" s="54"/>
      <c r="C1514" s="54"/>
      <c r="D1514" s="54"/>
      <c r="E1514" s="54"/>
      <c r="F1514" s="54"/>
      <c r="G1514" s="54"/>
      <c r="H1514" s="54"/>
      <c r="I1514" s="54"/>
      <c r="J1514" s="58" t="s">
        <v>341</v>
      </c>
      <c r="K1514" s="58"/>
    </row>
    <row r="1515" spans="1:11" ht="12.75">
      <c r="A1515" s="209" t="s">
        <v>0</v>
      </c>
      <c r="B1515" s="209" t="s">
        <v>317</v>
      </c>
      <c r="C1515" s="209" t="s">
        <v>318</v>
      </c>
      <c r="D1515" s="209" t="s">
        <v>319</v>
      </c>
      <c r="E1515" s="212" t="s">
        <v>320</v>
      </c>
      <c r="F1515" s="213"/>
      <c r="G1515" s="213"/>
      <c r="H1515" s="213"/>
      <c r="I1515" s="214"/>
      <c r="J1515" s="209" t="s">
        <v>326</v>
      </c>
      <c r="K1515" s="209" t="s">
        <v>327</v>
      </c>
    </row>
    <row r="1516" spans="1:11" ht="12.75">
      <c r="A1516" s="210"/>
      <c r="B1516" s="210"/>
      <c r="C1516" s="210"/>
      <c r="D1516" s="210"/>
      <c r="E1516" s="212" t="s">
        <v>321</v>
      </c>
      <c r="F1516" s="214"/>
      <c r="G1516" s="212" t="s">
        <v>322</v>
      </c>
      <c r="H1516" s="214"/>
      <c r="I1516" s="209" t="s">
        <v>325</v>
      </c>
      <c r="J1516" s="210"/>
      <c r="K1516" s="210"/>
    </row>
    <row r="1517" spans="1:11" ht="56.25">
      <c r="A1517" s="211"/>
      <c r="B1517" s="211"/>
      <c r="C1517" s="211"/>
      <c r="D1517" s="211"/>
      <c r="E1517" s="55" t="s">
        <v>328</v>
      </c>
      <c r="F1517" s="55" t="s">
        <v>328</v>
      </c>
      <c r="G1517" s="55" t="s">
        <v>323</v>
      </c>
      <c r="H1517" s="55" t="s">
        <v>324</v>
      </c>
      <c r="I1517" s="211"/>
      <c r="J1517" s="211"/>
      <c r="K1517" s="211"/>
    </row>
    <row r="1518" spans="1:11" ht="12.75">
      <c r="A1518" s="53">
        <v>1</v>
      </c>
      <c r="B1518" s="53">
        <v>2</v>
      </c>
      <c r="C1518" s="53">
        <v>3</v>
      </c>
      <c r="D1518" s="53">
        <v>4</v>
      </c>
      <c r="E1518" s="53">
        <v>5</v>
      </c>
      <c r="F1518" s="53">
        <v>6</v>
      </c>
      <c r="G1518" s="53">
        <v>7</v>
      </c>
      <c r="H1518" s="53">
        <v>8</v>
      </c>
      <c r="I1518" s="53">
        <v>9</v>
      </c>
      <c r="J1518" s="53">
        <v>10</v>
      </c>
      <c r="K1518" s="53">
        <v>11</v>
      </c>
    </row>
    <row r="1519" spans="1:11" ht="12.75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  <c r="K1519" s="56"/>
    </row>
    <row r="1520" spans="1:11" ht="12.75">
      <c r="A1520" s="57">
        <v>1</v>
      </c>
      <c r="B1520" s="56" t="s">
        <v>330</v>
      </c>
      <c r="C1520" s="57" t="s">
        <v>331</v>
      </c>
      <c r="D1520" s="56"/>
      <c r="E1520" s="56"/>
      <c r="F1520" s="56"/>
      <c r="G1520" s="56"/>
      <c r="H1520" s="56"/>
      <c r="I1520" s="56"/>
      <c r="J1520" s="56"/>
      <c r="K1520" s="56"/>
    </row>
    <row r="1521" spans="1:11" ht="12.75">
      <c r="A1521" s="57"/>
      <c r="B1521" s="56" t="s">
        <v>332</v>
      </c>
      <c r="C1521" s="57"/>
      <c r="D1521" s="56"/>
      <c r="E1521" s="56"/>
      <c r="F1521" s="56"/>
      <c r="G1521" s="56"/>
      <c r="H1521" s="56"/>
      <c r="I1521" s="56"/>
      <c r="J1521" s="56"/>
      <c r="K1521" s="56"/>
    </row>
    <row r="1522" spans="1:11" ht="12.75">
      <c r="A1522" s="57"/>
      <c r="B1522" s="56"/>
      <c r="C1522" s="54"/>
      <c r="D1522" s="56"/>
      <c r="E1522" s="56"/>
      <c r="F1522" s="56"/>
      <c r="G1522" s="56"/>
      <c r="H1522" s="56"/>
      <c r="I1522" s="56"/>
      <c r="J1522" s="56"/>
      <c r="K1522" s="56"/>
    </row>
    <row r="1523" spans="1:11" ht="12.75">
      <c r="A1523" s="57">
        <v>2</v>
      </c>
      <c r="B1523" s="56" t="s">
        <v>333</v>
      </c>
      <c r="C1523" s="57" t="s">
        <v>331</v>
      </c>
      <c r="D1523" s="56"/>
      <c r="E1523" s="56"/>
      <c r="F1523" s="56"/>
      <c r="G1523" s="56"/>
      <c r="H1523" s="56"/>
      <c r="I1523" s="56"/>
      <c r="J1523" s="56"/>
      <c r="K1523" s="56"/>
    </row>
    <row r="1524" spans="1:11" ht="12.75">
      <c r="A1524" s="57"/>
      <c r="B1524" s="56" t="s">
        <v>332</v>
      </c>
      <c r="C1524" s="57"/>
      <c r="D1524" s="56"/>
      <c r="E1524" s="56"/>
      <c r="F1524" s="56"/>
      <c r="G1524" s="56"/>
      <c r="H1524" s="56"/>
      <c r="I1524" s="56"/>
      <c r="J1524" s="56"/>
      <c r="K1524" s="56"/>
    </row>
    <row r="1525" spans="1:11" ht="12.75">
      <c r="A1525" s="57"/>
      <c r="B1525" s="56"/>
      <c r="C1525" s="57"/>
      <c r="D1525" s="56"/>
      <c r="E1525" s="56"/>
      <c r="F1525" s="56"/>
      <c r="G1525" s="56"/>
      <c r="H1525" s="56"/>
      <c r="I1525" s="56"/>
      <c r="J1525" s="56"/>
      <c r="K1525" s="56"/>
    </row>
    <row r="1526" spans="1:11" ht="12.75">
      <c r="A1526" s="57">
        <v>3</v>
      </c>
      <c r="B1526" s="56" t="s">
        <v>334</v>
      </c>
      <c r="C1526" s="57" t="s">
        <v>331</v>
      </c>
      <c r="D1526" s="56"/>
      <c r="E1526" s="56"/>
      <c r="F1526" s="56"/>
      <c r="G1526" s="56"/>
      <c r="H1526" s="56"/>
      <c r="I1526" s="56"/>
      <c r="J1526" s="56"/>
      <c r="K1526" s="56"/>
    </row>
    <row r="1527" spans="1:11" ht="12.75">
      <c r="A1527" s="57"/>
      <c r="B1527" s="56" t="s">
        <v>332</v>
      </c>
      <c r="C1527" s="57"/>
      <c r="D1527" s="56"/>
      <c r="E1527" s="56"/>
      <c r="F1527" s="56"/>
      <c r="G1527" s="56"/>
      <c r="H1527" s="56"/>
      <c r="I1527" s="56"/>
      <c r="J1527" s="56"/>
      <c r="K1527" s="56"/>
    </row>
    <row r="1528" spans="1:11" ht="12.75">
      <c r="A1528" s="57"/>
      <c r="B1528" s="56"/>
      <c r="C1528" s="57"/>
      <c r="D1528" s="56"/>
      <c r="E1528" s="56"/>
      <c r="F1528" s="56"/>
      <c r="G1528" s="56"/>
      <c r="H1528" s="56"/>
      <c r="I1528" s="56"/>
      <c r="J1528" s="56"/>
      <c r="K1528" s="56"/>
    </row>
    <row r="1529" spans="1:11" ht="12.75">
      <c r="A1529" s="57">
        <v>4</v>
      </c>
      <c r="B1529" s="56" t="s">
        <v>335</v>
      </c>
      <c r="C1529" s="57" t="s">
        <v>337</v>
      </c>
      <c r="D1529" s="56"/>
      <c r="E1529" s="56"/>
      <c r="F1529" s="56"/>
      <c r="G1529" s="56"/>
      <c r="H1529" s="56"/>
      <c r="I1529" s="56"/>
      <c r="J1529" s="56"/>
      <c r="K1529" s="56"/>
    </row>
    <row r="1530" spans="1:11" ht="12.75">
      <c r="A1530" s="57"/>
      <c r="B1530" s="56" t="s">
        <v>332</v>
      </c>
      <c r="C1530" s="57"/>
      <c r="D1530" s="56"/>
      <c r="E1530" s="56"/>
      <c r="F1530" s="56"/>
      <c r="G1530" s="56"/>
      <c r="H1530" s="56"/>
      <c r="I1530" s="56"/>
      <c r="J1530" s="56"/>
      <c r="K1530" s="56"/>
    </row>
    <row r="1531" spans="1:11" ht="12.75">
      <c r="A1531" s="57"/>
      <c r="B1531" s="56"/>
      <c r="C1531" s="57"/>
      <c r="D1531" s="56"/>
      <c r="E1531" s="56"/>
      <c r="F1531" s="56"/>
      <c r="G1531" s="56"/>
      <c r="H1531" s="56"/>
      <c r="I1531" s="56"/>
      <c r="J1531" s="56"/>
      <c r="K1531" s="56"/>
    </row>
    <row r="1532" spans="1:11" ht="12.75">
      <c r="A1532" s="57">
        <v>5</v>
      </c>
      <c r="B1532" s="56" t="s">
        <v>336</v>
      </c>
      <c r="C1532" s="57" t="s">
        <v>338</v>
      </c>
      <c r="D1532" s="56"/>
      <c r="E1532" s="56"/>
      <c r="F1532" s="56"/>
      <c r="G1532" s="56"/>
      <c r="H1532" s="56"/>
      <c r="I1532" s="56"/>
      <c r="J1532" s="56"/>
      <c r="K1532" s="56"/>
    </row>
    <row r="1533" spans="1:11" ht="12.75">
      <c r="A1533" s="56"/>
      <c r="B1533" s="56" t="s">
        <v>332</v>
      </c>
      <c r="C1533" s="57"/>
      <c r="D1533" s="56"/>
      <c r="E1533" s="56"/>
      <c r="F1533" s="56"/>
      <c r="G1533" s="56"/>
      <c r="H1533" s="56"/>
      <c r="I1533" s="56"/>
      <c r="J1533" s="56"/>
      <c r="K1533" s="56"/>
    </row>
    <row r="1534" spans="1:11" ht="12.75">
      <c r="A1534" s="56"/>
      <c r="B1534" s="56"/>
      <c r="C1534" s="56"/>
      <c r="D1534" s="56"/>
      <c r="E1534" s="56"/>
      <c r="F1534" s="56"/>
      <c r="G1534" s="56"/>
      <c r="H1534" s="56"/>
      <c r="I1534" s="56"/>
      <c r="J1534" s="56"/>
      <c r="K1534" s="56"/>
    </row>
    <row r="1535" spans="1:11" ht="12.75">
      <c r="A1535" s="54"/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</row>
    <row r="1536" spans="1:11" ht="12.75">
      <c r="A1536" s="54"/>
      <c r="B1536" s="54" t="s">
        <v>339</v>
      </c>
      <c r="C1536" s="54"/>
      <c r="D1536" s="54"/>
      <c r="E1536" s="54"/>
      <c r="F1536" s="54"/>
      <c r="G1536" s="54"/>
      <c r="H1536" s="54"/>
      <c r="I1536" s="54"/>
      <c r="J1536" s="54" t="s">
        <v>247</v>
      </c>
      <c r="K1536" s="54"/>
    </row>
    <row r="1554" spans="1:11" ht="12.75">
      <c r="A1554" s="54"/>
      <c r="B1554" s="54" t="s">
        <v>315</v>
      </c>
      <c r="C1554" s="54"/>
      <c r="D1554" s="54"/>
      <c r="E1554" s="54"/>
      <c r="F1554" s="54"/>
      <c r="G1554" s="54"/>
      <c r="H1554" s="54" t="s">
        <v>316</v>
      </c>
      <c r="I1554" s="54"/>
      <c r="J1554" s="54"/>
      <c r="K1554" s="54"/>
    </row>
    <row r="1555" spans="1:11" ht="12.75">
      <c r="A1555" s="54"/>
      <c r="B1555" s="54"/>
      <c r="C1555" s="54"/>
      <c r="D1555" s="54" t="s">
        <v>329</v>
      </c>
      <c r="E1555" s="54"/>
      <c r="F1555" s="54"/>
      <c r="G1555" s="54"/>
      <c r="H1555" s="54"/>
      <c r="I1555" s="54"/>
      <c r="J1555" s="54"/>
      <c r="K1555" s="54"/>
    </row>
    <row r="1556" spans="1:11" ht="12.75">
      <c r="A1556" s="54"/>
      <c r="B1556" s="54"/>
      <c r="C1556" s="54"/>
      <c r="D1556" s="54"/>
      <c r="E1556" s="54"/>
      <c r="F1556" s="54"/>
      <c r="G1556" s="54"/>
      <c r="H1556" s="54"/>
      <c r="I1556" s="54"/>
      <c r="J1556" s="58" t="s">
        <v>341</v>
      </c>
      <c r="K1556" s="58"/>
    </row>
    <row r="1557" spans="1:11" ht="12.75">
      <c r="A1557" s="209" t="s">
        <v>0</v>
      </c>
      <c r="B1557" s="209" t="s">
        <v>317</v>
      </c>
      <c r="C1557" s="209" t="s">
        <v>318</v>
      </c>
      <c r="D1557" s="209" t="s">
        <v>319</v>
      </c>
      <c r="E1557" s="212" t="s">
        <v>320</v>
      </c>
      <c r="F1557" s="213"/>
      <c r="G1557" s="213"/>
      <c r="H1557" s="213"/>
      <c r="I1557" s="214"/>
      <c r="J1557" s="209" t="s">
        <v>326</v>
      </c>
      <c r="K1557" s="209" t="s">
        <v>327</v>
      </c>
    </row>
    <row r="1558" spans="1:11" ht="12.75">
      <c r="A1558" s="210"/>
      <c r="B1558" s="210"/>
      <c r="C1558" s="210"/>
      <c r="D1558" s="210"/>
      <c r="E1558" s="212" t="s">
        <v>321</v>
      </c>
      <c r="F1558" s="214"/>
      <c r="G1558" s="212" t="s">
        <v>322</v>
      </c>
      <c r="H1558" s="214"/>
      <c r="I1558" s="209" t="s">
        <v>325</v>
      </c>
      <c r="J1558" s="210"/>
      <c r="K1558" s="210"/>
    </row>
    <row r="1559" spans="1:11" ht="56.25">
      <c r="A1559" s="211"/>
      <c r="B1559" s="211"/>
      <c r="C1559" s="211"/>
      <c r="D1559" s="211"/>
      <c r="E1559" s="55" t="s">
        <v>328</v>
      </c>
      <c r="F1559" s="55" t="s">
        <v>328</v>
      </c>
      <c r="G1559" s="55" t="s">
        <v>323</v>
      </c>
      <c r="H1559" s="55" t="s">
        <v>324</v>
      </c>
      <c r="I1559" s="211"/>
      <c r="J1559" s="211"/>
      <c r="K1559" s="211"/>
    </row>
    <row r="1560" spans="1:11" ht="12.75">
      <c r="A1560" s="53">
        <v>1</v>
      </c>
      <c r="B1560" s="53">
        <v>2</v>
      </c>
      <c r="C1560" s="53">
        <v>3</v>
      </c>
      <c r="D1560" s="53">
        <v>4</v>
      </c>
      <c r="E1560" s="53">
        <v>5</v>
      </c>
      <c r="F1560" s="53">
        <v>6</v>
      </c>
      <c r="G1560" s="53">
        <v>7</v>
      </c>
      <c r="H1560" s="53">
        <v>8</v>
      </c>
      <c r="I1560" s="53">
        <v>9</v>
      </c>
      <c r="J1560" s="53">
        <v>10</v>
      </c>
      <c r="K1560" s="53">
        <v>11</v>
      </c>
    </row>
    <row r="1561" spans="1:11" ht="12.75">
      <c r="A1561" s="56"/>
      <c r="B1561" s="56"/>
      <c r="C1561" s="56"/>
      <c r="D1561" s="56"/>
      <c r="E1561" s="56"/>
      <c r="F1561" s="56"/>
      <c r="G1561" s="56"/>
      <c r="H1561" s="56"/>
      <c r="I1561" s="56"/>
      <c r="J1561" s="56"/>
      <c r="K1561" s="56"/>
    </row>
    <row r="1562" spans="1:11" ht="12.75">
      <c r="A1562" s="57">
        <v>1</v>
      </c>
      <c r="B1562" s="56" t="s">
        <v>330</v>
      </c>
      <c r="C1562" s="57" t="s">
        <v>331</v>
      </c>
      <c r="D1562" s="56"/>
      <c r="E1562" s="56"/>
      <c r="F1562" s="56"/>
      <c r="G1562" s="56"/>
      <c r="H1562" s="56"/>
      <c r="I1562" s="56"/>
      <c r="J1562" s="56"/>
      <c r="K1562" s="56"/>
    </row>
    <row r="1563" spans="1:11" ht="12.75">
      <c r="A1563" s="57"/>
      <c r="B1563" s="56" t="s">
        <v>332</v>
      </c>
      <c r="C1563" s="57"/>
      <c r="D1563" s="56"/>
      <c r="E1563" s="56"/>
      <c r="F1563" s="56"/>
      <c r="G1563" s="56"/>
      <c r="H1563" s="56"/>
      <c r="I1563" s="56"/>
      <c r="J1563" s="56"/>
      <c r="K1563" s="56"/>
    </row>
    <row r="1564" spans="1:11" ht="12.75">
      <c r="A1564" s="57"/>
      <c r="B1564" s="56"/>
      <c r="C1564" s="54"/>
      <c r="D1564" s="56"/>
      <c r="E1564" s="56"/>
      <c r="F1564" s="56"/>
      <c r="G1564" s="56"/>
      <c r="H1564" s="56"/>
      <c r="I1564" s="56"/>
      <c r="J1564" s="56"/>
      <c r="K1564" s="56"/>
    </row>
    <row r="1565" spans="1:11" ht="12.75">
      <c r="A1565" s="57">
        <v>2</v>
      </c>
      <c r="B1565" s="56" t="s">
        <v>333</v>
      </c>
      <c r="C1565" s="57" t="s">
        <v>331</v>
      </c>
      <c r="D1565" s="56"/>
      <c r="E1565" s="56"/>
      <c r="F1565" s="56"/>
      <c r="G1565" s="56"/>
      <c r="H1565" s="56"/>
      <c r="I1565" s="56"/>
      <c r="J1565" s="56"/>
      <c r="K1565" s="56"/>
    </row>
    <row r="1566" spans="1:11" ht="12.75">
      <c r="A1566" s="57"/>
      <c r="B1566" s="56" t="s">
        <v>332</v>
      </c>
      <c r="C1566" s="57"/>
      <c r="D1566" s="56"/>
      <c r="E1566" s="56"/>
      <c r="F1566" s="56"/>
      <c r="G1566" s="56"/>
      <c r="H1566" s="56"/>
      <c r="I1566" s="56"/>
      <c r="J1566" s="56"/>
      <c r="K1566" s="56"/>
    </row>
    <row r="1567" spans="1:11" ht="12.75">
      <c r="A1567" s="57"/>
      <c r="B1567" s="56"/>
      <c r="C1567" s="57"/>
      <c r="D1567" s="56"/>
      <c r="E1567" s="56"/>
      <c r="F1567" s="56"/>
      <c r="G1567" s="56"/>
      <c r="H1567" s="56"/>
      <c r="I1567" s="56"/>
      <c r="J1567" s="56"/>
      <c r="K1567" s="56"/>
    </row>
    <row r="1568" spans="1:11" ht="12.75">
      <c r="A1568" s="57">
        <v>3</v>
      </c>
      <c r="B1568" s="56" t="s">
        <v>334</v>
      </c>
      <c r="C1568" s="57" t="s">
        <v>331</v>
      </c>
      <c r="D1568" s="56"/>
      <c r="E1568" s="56"/>
      <c r="F1568" s="56"/>
      <c r="G1568" s="56"/>
      <c r="H1568" s="56"/>
      <c r="I1568" s="56"/>
      <c r="J1568" s="56"/>
      <c r="K1568" s="56"/>
    </row>
    <row r="1569" spans="1:11" ht="12.75">
      <c r="A1569" s="57"/>
      <c r="B1569" s="56" t="s">
        <v>332</v>
      </c>
      <c r="C1569" s="57"/>
      <c r="D1569" s="56"/>
      <c r="E1569" s="56"/>
      <c r="F1569" s="56"/>
      <c r="G1569" s="56"/>
      <c r="H1569" s="56"/>
      <c r="I1569" s="56"/>
      <c r="J1569" s="56"/>
      <c r="K1569" s="56"/>
    </row>
    <row r="1570" spans="1:11" ht="12.75">
      <c r="A1570" s="57"/>
      <c r="B1570" s="56"/>
      <c r="C1570" s="57"/>
      <c r="D1570" s="56"/>
      <c r="E1570" s="56"/>
      <c r="F1570" s="56"/>
      <c r="G1570" s="56"/>
      <c r="H1570" s="56"/>
      <c r="I1570" s="56"/>
      <c r="J1570" s="56"/>
      <c r="K1570" s="56"/>
    </row>
    <row r="1571" spans="1:11" ht="12.75">
      <c r="A1571" s="57">
        <v>4</v>
      </c>
      <c r="B1571" s="56" t="s">
        <v>335</v>
      </c>
      <c r="C1571" s="57" t="s">
        <v>337</v>
      </c>
      <c r="D1571" s="56"/>
      <c r="E1571" s="56"/>
      <c r="F1571" s="56"/>
      <c r="G1571" s="56"/>
      <c r="H1571" s="56"/>
      <c r="I1571" s="56"/>
      <c r="J1571" s="56"/>
      <c r="K1571" s="56"/>
    </row>
    <row r="1572" spans="1:11" ht="12.75">
      <c r="A1572" s="57"/>
      <c r="B1572" s="56" t="s">
        <v>332</v>
      </c>
      <c r="C1572" s="57"/>
      <c r="D1572" s="56"/>
      <c r="E1572" s="56"/>
      <c r="F1572" s="56"/>
      <c r="G1572" s="56"/>
      <c r="H1572" s="56"/>
      <c r="I1572" s="56"/>
      <c r="J1572" s="56"/>
      <c r="K1572" s="56"/>
    </row>
    <row r="1573" spans="1:11" ht="12.75">
      <c r="A1573" s="57"/>
      <c r="B1573" s="56"/>
      <c r="C1573" s="57"/>
      <c r="D1573" s="56"/>
      <c r="E1573" s="56"/>
      <c r="F1573" s="56"/>
      <c r="G1573" s="56"/>
      <c r="H1573" s="56"/>
      <c r="I1573" s="56"/>
      <c r="J1573" s="56"/>
      <c r="K1573" s="56"/>
    </row>
    <row r="1574" spans="1:11" ht="12.75">
      <c r="A1574" s="57">
        <v>5</v>
      </c>
      <c r="B1574" s="56" t="s">
        <v>336</v>
      </c>
      <c r="C1574" s="57" t="s">
        <v>338</v>
      </c>
      <c r="D1574" s="56"/>
      <c r="E1574" s="56"/>
      <c r="F1574" s="56"/>
      <c r="G1574" s="56"/>
      <c r="H1574" s="56"/>
      <c r="I1574" s="56"/>
      <c r="J1574" s="56"/>
      <c r="K1574" s="56"/>
    </row>
    <row r="1575" spans="1:11" ht="12.75">
      <c r="A1575" s="56"/>
      <c r="B1575" s="56" t="s">
        <v>332</v>
      </c>
      <c r="C1575" s="57"/>
      <c r="D1575" s="56"/>
      <c r="E1575" s="56"/>
      <c r="F1575" s="56"/>
      <c r="G1575" s="56"/>
      <c r="H1575" s="56"/>
      <c r="I1575" s="56"/>
      <c r="J1575" s="56"/>
      <c r="K1575" s="56"/>
    </row>
    <row r="1576" spans="1:11" ht="12.75">
      <c r="A1576" s="56"/>
      <c r="B1576" s="56"/>
      <c r="C1576" s="56"/>
      <c r="D1576" s="56"/>
      <c r="E1576" s="56"/>
      <c r="F1576" s="56"/>
      <c r="G1576" s="56"/>
      <c r="H1576" s="56"/>
      <c r="I1576" s="56"/>
      <c r="J1576" s="56"/>
      <c r="K1576" s="56"/>
    </row>
    <row r="1577" spans="1:11" ht="12.75">
      <c r="A1577" s="54"/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</row>
    <row r="1578" spans="1:11" ht="12.75">
      <c r="A1578" s="54"/>
      <c r="B1578" s="54" t="s">
        <v>339</v>
      </c>
      <c r="C1578" s="54"/>
      <c r="D1578" s="54"/>
      <c r="E1578" s="54"/>
      <c r="F1578" s="54"/>
      <c r="G1578" s="54"/>
      <c r="H1578" s="54"/>
      <c r="I1578" s="54"/>
      <c r="J1578" s="54" t="s">
        <v>247</v>
      </c>
      <c r="K1578" s="54"/>
    </row>
    <row r="1596" spans="1:11" ht="12.75">
      <c r="A1596" s="54"/>
      <c r="B1596" s="54" t="s">
        <v>315</v>
      </c>
      <c r="C1596" s="54"/>
      <c r="D1596" s="54"/>
      <c r="E1596" s="54"/>
      <c r="F1596" s="54"/>
      <c r="G1596" s="54"/>
      <c r="H1596" s="54" t="s">
        <v>316</v>
      </c>
      <c r="I1596" s="54"/>
      <c r="J1596" s="54"/>
      <c r="K1596" s="54"/>
    </row>
    <row r="1597" spans="1:11" ht="12.75">
      <c r="A1597" s="54"/>
      <c r="B1597" s="54"/>
      <c r="C1597" s="54"/>
      <c r="D1597" s="54" t="s">
        <v>329</v>
      </c>
      <c r="E1597" s="54"/>
      <c r="F1597" s="54"/>
      <c r="G1597" s="54"/>
      <c r="H1597" s="54"/>
      <c r="I1597" s="54"/>
      <c r="J1597" s="54"/>
      <c r="K1597" s="54"/>
    </row>
    <row r="1598" spans="1:11" ht="12.75">
      <c r="A1598" s="54"/>
      <c r="B1598" s="54"/>
      <c r="C1598" s="54"/>
      <c r="D1598" s="54"/>
      <c r="E1598" s="54"/>
      <c r="F1598" s="54"/>
      <c r="G1598" s="54"/>
      <c r="H1598" s="54"/>
      <c r="I1598" s="54"/>
      <c r="J1598" s="58" t="s">
        <v>341</v>
      </c>
      <c r="K1598" s="58"/>
    </row>
    <row r="1599" spans="1:11" ht="12.75">
      <c r="A1599" s="209" t="s">
        <v>0</v>
      </c>
      <c r="B1599" s="209" t="s">
        <v>317</v>
      </c>
      <c r="C1599" s="209" t="s">
        <v>318</v>
      </c>
      <c r="D1599" s="209" t="s">
        <v>319</v>
      </c>
      <c r="E1599" s="212" t="s">
        <v>320</v>
      </c>
      <c r="F1599" s="213"/>
      <c r="G1599" s="213"/>
      <c r="H1599" s="213"/>
      <c r="I1599" s="214"/>
      <c r="J1599" s="209" t="s">
        <v>326</v>
      </c>
      <c r="K1599" s="209" t="s">
        <v>327</v>
      </c>
    </row>
    <row r="1600" spans="1:11" ht="12.75">
      <c r="A1600" s="210"/>
      <c r="B1600" s="210"/>
      <c r="C1600" s="210"/>
      <c r="D1600" s="210"/>
      <c r="E1600" s="212" t="s">
        <v>321</v>
      </c>
      <c r="F1600" s="214"/>
      <c r="G1600" s="212" t="s">
        <v>322</v>
      </c>
      <c r="H1600" s="214"/>
      <c r="I1600" s="209" t="s">
        <v>325</v>
      </c>
      <c r="J1600" s="210"/>
      <c r="K1600" s="210"/>
    </row>
    <row r="1601" spans="1:11" ht="56.25">
      <c r="A1601" s="211"/>
      <c r="B1601" s="211"/>
      <c r="C1601" s="211"/>
      <c r="D1601" s="211"/>
      <c r="E1601" s="55" t="s">
        <v>328</v>
      </c>
      <c r="F1601" s="55" t="s">
        <v>328</v>
      </c>
      <c r="G1601" s="55" t="s">
        <v>323</v>
      </c>
      <c r="H1601" s="55" t="s">
        <v>324</v>
      </c>
      <c r="I1601" s="211"/>
      <c r="J1601" s="211"/>
      <c r="K1601" s="211"/>
    </row>
    <row r="1602" spans="1:11" ht="12.75">
      <c r="A1602" s="53">
        <v>1</v>
      </c>
      <c r="B1602" s="53">
        <v>2</v>
      </c>
      <c r="C1602" s="53">
        <v>3</v>
      </c>
      <c r="D1602" s="53">
        <v>4</v>
      </c>
      <c r="E1602" s="53">
        <v>5</v>
      </c>
      <c r="F1602" s="53">
        <v>6</v>
      </c>
      <c r="G1602" s="53">
        <v>7</v>
      </c>
      <c r="H1602" s="53">
        <v>8</v>
      </c>
      <c r="I1602" s="53">
        <v>9</v>
      </c>
      <c r="J1602" s="53">
        <v>10</v>
      </c>
      <c r="K1602" s="53">
        <v>11</v>
      </c>
    </row>
    <row r="1603" spans="1:11" ht="12.75">
      <c r="A1603" s="56"/>
      <c r="B1603" s="56"/>
      <c r="C1603" s="56"/>
      <c r="D1603" s="56"/>
      <c r="E1603" s="56"/>
      <c r="F1603" s="56"/>
      <c r="G1603" s="56"/>
      <c r="H1603" s="56"/>
      <c r="I1603" s="56"/>
      <c r="J1603" s="56"/>
      <c r="K1603" s="56"/>
    </row>
    <row r="1604" spans="1:11" ht="12.75">
      <c r="A1604" s="57">
        <v>1</v>
      </c>
      <c r="B1604" s="56" t="s">
        <v>330</v>
      </c>
      <c r="C1604" s="57" t="s">
        <v>331</v>
      </c>
      <c r="D1604" s="56"/>
      <c r="E1604" s="56"/>
      <c r="F1604" s="56"/>
      <c r="G1604" s="56"/>
      <c r="H1604" s="56"/>
      <c r="I1604" s="56"/>
      <c r="J1604" s="56"/>
      <c r="K1604" s="56"/>
    </row>
    <row r="1605" spans="1:11" ht="12.75">
      <c r="A1605" s="57"/>
      <c r="B1605" s="56" t="s">
        <v>332</v>
      </c>
      <c r="C1605" s="57"/>
      <c r="D1605" s="56"/>
      <c r="E1605" s="56"/>
      <c r="F1605" s="56"/>
      <c r="G1605" s="56"/>
      <c r="H1605" s="56"/>
      <c r="I1605" s="56"/>
      <c r="J1605" s="56"/>
      <c r="K1605" s="56"/>
    </row>
    <row r="1606" spans="1:11" ht="12.75">
      <c r="A1606" s="57"/>
      <c r="B1606" s="56"/>
      <c r="C1606" s="54"/>
      <c r="D1606" s="56"/>
      <c r="E1606" s="56"/>
      <c r="F1606" s="56"/>
      <c r="G1606" s="56"/>
      <c r="H1606" s="56"/>
      <c r="I1606" s="56"/>
      <c r="J1606" s="56"/>
      <c r="K1606" s="56"/>
    </row>
    <row r="1607" spans="1:11" ht="12.75">
      <c r="A1607" s="57">
        <v>2</v>
      </c>
      <c r="B1607" s="56" t="s">
        <v>333</v>
      </c>
      <c r="C1607" s="57" t="s">
        <v>331</v>
      </c>
      <c r="D1607" s="56"/>
      <c r="E1607" s="56"/>
      <c r="F1607" s="56"/>
      <c r="G1607" s="56"/>
      <c r="H1607" s="56"/>
      <c r="I1607" s="56"/>
      <c r="J1607" s="56"/>
      <c r="K1607" s="56"/>
    </row>
    <row r="1608" spans="1:11" ht="12.75">
      <c r="A1608" s="57"/>
      <c r="B1608" s="56" t="s">
        <v>332</v>
      </c>
      <c r="C1608" s="57"/>
      <c r="D1608" s="56"/>
      <c r="E1608" s="56"/>
      <c r="F1608" s="56"/>
      <c r="G1608" s="56"/>
      <c r="H1608" s="56"/>
      <c r="I1608" s="56"/>
      <c r="J1608" s="56"/>
      <c r="K1608" s="56"/>
    </row>
    <row r="1609" spans="1:11" ht="12.75">
      <c r="A1609" s="57"/>
      <c r="B1609" s="56"/>
      <c r="C1609" s="57"/>
      <c r="D1609" s="56"/>
      <c r="E1609" s="56"/>
      <c r="F1609" s="56"/>
      <c r="G1609" s="56"/>
      <c r="H1609" s="56"/>
      <c r="I1609" s="56"/>
      <c r="J1609" s="56"/>
      <c r="K1609" s="56"/>
    </row>
    <row r="1610" spans="1:11" ht="12.75">
      <c r="A1610" s="57">
        <v>3</v>
      </c>
      <c r="B1610" s="56" t="s">
        <v>334</v>
      </c>
      <c r="C1610" s="57" t="s">
        <v>331</v>
      </c>
      <c r="D1610" s="56"/>
      <c r="E1610" s="56"/>
      <c r="F1610" s="56"/>
      <c r="G1610" s="56"/>
      <c r="H1610" s="56"/>
      <c r="I1610" s="56"/>
      <c r="J1610" s="56"/>
      <c r="K1610" s="56"/>
    </row>
    <row r="1611" spans="1:11" ht="12.75">
      <c r="A1611" s="57"/>
      <c r="B1611" s="56" t="s">
        <v>332</v>
      </c>
      <c r="C1611" s="57"/>
      <c r="D1611" s="56"/>
      <c r="E1611" s="56"/>
      <c r="F1611" s="56"/>
      <c r="G1611" s="56"/>
      <c r="H1611" s="56"/>
      <c r="I1611" s="56"/>
      <c r="J1611" s="56"/>
      <c r="K1611" s="56"/>
    </row>
    <row r="1612" spans="1:11" ht="12.75">
      <c r="A1612" s="57"/>
      <c r="B1612" s="56"/>
      <c r="C1612" s="57"/>
      <c r="D1612" s="56"/>
      <c r="E1612" s="56"/>
      <c r="F1612" s="56"/>
      <c r="G1612" s="56"/>
      <c r="H1612" s="56"/>
      <c r="I1612" s="56"/>
      <c r="J1612" s="56"/>
      <c r="K1612" s="56"/>
    </row>
    <row r="1613" spans="1:11" ht="12.75">
      <c r="A1613" s="57">
        <v>4</v>
      </c>
      <c r="B1613" s="56" t="s">
        <v>335</v>
      </c>
      <c r="C1613" s="57" t="s">
        <v>337</v>
      </c>
      <c r="D1613" s="56"/>
      <c r="E1613" s="56"/>
      <c r="F1613" s="56"/>
      <c r="G1613" s="56"/>
      <c r="H1613" s="56"/>
      <c r="I1613" s="56"/>
      <c r="J1613" s="56"/>
      <c r="K1613" s="56"/>
    </row>
    <row r="1614" spans="1:11" ht="12.75">
      <c r="A1614" s="57"/>
      <c r="B1614" s="56" t="s">
        <v>332</v>
      </c>
      <c r="C1614" s="57"/>
      <c r="D1614" s="56"/>
      <c r="E1614" s="56"/>
      <c r="F1614" s="56"/>
      <c r="G1614" s="56"/>
      <c r="H1614" s="56"/>
      <c r="I1614" s="56"/>
      <c r="J1614" s="56"/>
      <c r="K1614" s="56"/>
    </row>
    <row r="1615" spans="1:11" ht="12.75">
      <c r="A1615" s="57"/>
      <c r="B1615" s="56"/>
      <c r="C1615" s="57"/>
      <c r="D1615" s="56"/>
      <c r="E1615" s="56"/>
      <c r="F1615" s="56"/>
      <c r="G1615" s="56"/>
      <c r="H1615" s="56"/>
      <c r="I1615" s="56"/>
      <c r="J1615" s="56"/>
      <c r="K1615" s="56"/>
    </row>
    <row r="1616" spans="1:11" ht="12.75">
      <c r="A1616" s="57">
        <v>5</v>
      </c>
      <c r="B1616" s="56" t="s">
        <v>336</v>
      </c>
      <c r="C1616" s="57" t="s">
        <v>338</v>
      </c>
      <c r="D1616" s="56"/>
      <c r="E1616" s="56"/>
      <c r="F1616" s="56"/>
      <c r="G1616" s="56"/>
      <c r="H1616" s="56"/>
      <c r="I1616" s="56"/>
      <c r="J1616" s="56"/>
      <c r="K1616" s="56"/>
    </row>
    <row r="1617" spans="1:11" ht="12.75">
      <c r="A1617" s="56"/>
      <c r="B1617" s="56" t="s">
        <v>332</v>
      </c>
      <c r="C1617" s="57"/>
      <c r="D1617" s="56"/>
      <c r="E1617" s="56"/>
      <c r="F1617" s="56"/>
      <c r="G1617" s="56"/>
      <c r="H1617" s="56"/>
      <c r="I1617" s="56"/>
      <c r="J1617" s="56"/>
      <c r="K1617" s="56"/>
    </row>
    <row r="1618" spans="1:11" ht="12.75">
      <c r="A1618" s="56"/>
      <c r="B1618" s="56"/>
      <c r="C1618" s="56"/>
      <c r="D1618" s="56"/>
      <c r="E1618" s="56"/>
      <c r="F1618" s="56"/>
      <c r="G1618" s="56"/>
      <c r="H1618" s="56"/>
      <c r="I1618" s="56"/>
      <c r="J1618" s="56"/>
      <c r="K1618" s="56"/>
    </row>
    <row r="1619" spans="1:11" ht="12.75">
      <c r="A1619" s="54"/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</row>
    <row r="1620" spans="1:11" ht="12.75">
      <c r="A1620" s="54"/>
      <c r="B1620" s="54" t="s">
        <v>339</v>
      </c>
      <c r="C1620" s="54"/>
      <c r="D1620" s="54"/>
      <c r="E1620" s="54"/>
      <c r="F1620" s="54"/>
      <c r="G1620" s="54"/>
      <c r="H1620" s="54"/>
      <c r="I1620" s="54"/>
      <c r="J1620" s="54" t="s">
        <v>247</v>
      </c>
      <c r="K1620" s="54"/>
    </row>
    <row r="1638" spans="1:11" ht="12.75">
      <c r="A1638" s="54"/>
      <c r="B1638" s="54" t="s">
        <v>315</v>
      </c>
      <c r="C1638" s="54"/>
      <c r="D1638" s="54"/>
      <c r="E1638" s="54"/>
      <c r="F1638" s="54"/>
      <c r="G1638" s="54"/>
      <c r="H1638" s="54" t="s">
        <v>316</v>
      </c>
      <c r="I1638" s="54"/>
      <c r="J1638" s="54"/>
      <c r="K1638" s="54"/>
    </row>
    <row r="1639" spans="1:11" ht="12.75">
      <c r="A1639" s="54"/>
      <c r="B1639" s="54"/>
      <c r="C1639" s="54"/>
      <c r="D1639" s="54" t="s">
        <v>329</v>
      </c>
      <c r="E1639" s="54"/>
      <c r="F1639" s="54"/>
      <c r="G1639" s="54"/>
      <c r="H1639" s="54"/>
      <c r="I1639" s="54"/>
      <c r="J1639" s="54"/>
      <c r="K1639" s="54"/>
    </row>
    <row r="1640" spans="1:11" ht="12.75">
      <c r="A1640" s="54"/>
      <c r="B1640" s="54"/>
      <c r="C1640" s="54"/>
      <c r="D1640" s="54"/>
      <c r="E1640" s="54"/>
      <c r="F1640" s="54"/>
      <c r="G1640" s="54"/>
      <c r="H1640" s="54"/>
      <c r="I1640" s="54"/>
      <c r="J1640" s="58" t="s">
        <v>341</v>
      </c>
      <c r="K1640" s="58"/>
    </row>
    <row r="1641" spans="1:11" ht="12.75">
      <c r="A1641" s="209" t="s">
        <v>0</v>
      </c>
      <c r="B1641" s="209" t="s">
        <v>317</v>
      </c>
      <c r="C1641" s="209" t="s">
        <v>318</v>
      </c>
      <c r="D1641" s="209" t="s">
        <v>319</v>
      </c>
      <c r="E1641" s="212" t="s">
        <v>320</v>
      </c>
      <c r="F1641" s="213"/>
      <c r="G1641" s="213"/>
      <c r="H1641" s="213"/>
      <c r="I1641" s="214"/>
      <c r="J1641" s="209" t="s">
        <v>326</v>
      </c>
      <c r="K1641" s="209" t="s">
        <v>327</v>
      </c>
    </row>
    <row r="1642" spans="1:11" ht="12.75">
      <c r="A1642" s="210"/>
      <c r="B1642" s="210"/>
      <c r="C1642" s="210"/>
      <c r="D1642" s="210"/>
      <c r="E1642" s="212" t="s">
        <v>321</v>
      </c>
      <c r="F1642" s="214"/>
      <c r="G1642" s="212" t="s">
        <v>322</v>
      </c>
      <c r="H1642" s="214"/>
      <c r="I1642" s="209" t="s">
        <v>325</v>
      </c>
      <c r="J1642" s="210"/>
      <c r="K1642" s="210"/>
    </row>
    <row r="1643" spans="1:11" ht="56.25">
      <c r="A1643" s="211"/>
      <c r="B1643" s="211"/>
      <c r="C1643" s="211"/>
      <c r="D1643" s="211"/>
      <c r="E1643" s="55" t="s">
        <v>328</v>
      </c>
      <c r="F1643" s="55" t="s">
        <v>328</v>
      </c>
      <c r="G1643" s="55" t="s">
        <v>323</v>
      </c>
      <c r="H1643" s="55" t="s">
        <v>324</v>
      </c>
      <c r="I1643" s="211"/>
      <c r="J1643" s="211"/>
      <c r="K1643" s="211"/>
    </row>
    <row r="1644" spans="1:11" ht="12.75">
      <c r="A1644" s="53">
        <v>1</v>
      </c>
      <c r="B1644" s="53">
        <v>2</v>
      </c>
      <c r="C1644" s="53">
        <v>3</v>
      </c>
      <c r="D1644" s="53">
        <v>4</v>
      </c>
      <c r="E1644" s="53">
        <v>5</v>
      </c>
      <c r="F1644" s="53">
        <v>6</v>
      </c>
      <c r="G1644" s="53">
        <v>7</v>
      </c>
      <c r="H1644" s="53">
        <v>8</v>
      </c>
      <c r="I1644" s="53">
        <v>9</v>
      </c>
      <c r="J1644" s="53">
        <v>10</v>
      </c>
      <c r="K1644" s="53">
        <v>11</v>
      </c>
    </row>
    <row r="1645" spans="1:11" ht="12.75">
      <c r="A1645" s="56"/>
      <c r="B1645" s="56"/>
      <c r="C1645" s="56"/>
      <c r="D1645" s="56"/>
      <c r="E1645" s="56"/>
      <c r="F1645" s="56"/>
      <c r="G1645" s="56"/>
      <c r="H1645" s="56"/>
      <c r="I1645" s="56"/>
      <c r="J1645" s="56"/>
      <c r="K1645" s="56"/>
    </row>
    <row r="1646" spans="1:11" ht="12.75">
      <c r="A1646" s="57">
        <v>1</v>
      </c>
      <c r="B1646" s="56" t="s">
        <v>330</v>
      </c>
      <c r="C1646" s="57" t="s">
        <v>331</v>
      </c>
      <c r="D1646" s="56"/>
      <c r="E1646" s="56"/>
      <c r="F1646" s="56"/>
      <c r="G1646" s="56"/>
      <c r="H1646" s="56"/>
      <c r="I1646" s="56"/>
      <c r="J1646" s="56"/>
      <c r="K1646" s="56"/>
    </row>
    <row r="1647" spans="1:11" ht="12.75">
      <c r="A1647" s="57"/>
      <c r="B1647" s="56" t="s">
        <v>332</v>
      </c>
      <c r="C1647" s="57"/>
      <c r="D1647" s="56"/>
      <c r="E1647" s="56"/>
      <c r="F1647" s="56"/>
      <c r="G1647" s="56"/>
      <c r="H1647" s="56"/>
      <c r="I1647" s="56"/>
      <c r="J1647" s="56"/>
      <c r="K1647" s="56"/>
    </row>
    <row r="1648" spans="1:11" ht="12.75">
      <c r="A1648" s="57"/>
      <c r="B1648" s="56"/>
      <c r="C1648" s="54"/>
      <c r="D1648" s="56"/>
      <c r="E1648" s="56"/>
      <c r="F1648" s="56"/>
      <c r="G1648" s="56"/>
      <c r="H1648" s="56"/>
      <c r="I1648" s="56"/>
      <c r="J1648" s="56"/>
      <c r="K1648" s="56"/>
    </row>
    <row r="1649" spans="1:11" ht="12.75">
      <c r="A1649" s="57">
        <v>2</v>
      </c>
      <c r="B1649" s="56" t="s">
        <v>333</v>
      </c>
      <c r="C1649" s="57" t="s">
        <v>331</v>
      </c>
      <c r="D1649" s="56"/>
      <c r="E1649" s="56"/>
      <c r="F1649" s="56"/>
      <c r="G1649" s="56"/>
      <c r="H1649" s="56"/>
      <c r="I1649" s="56"/>
      <c r="J1649" s="56"/>
      <c r="K1649" s="56"/>
    </row>
    <row r="1650" spans="1:11" ht="12.75">
      <c r="A1650" s="57"/>
      <c r="B1650" s="56" t="s">
        <v>332</v>
      </c>
      <c r="C1650" s="57"/>
      <c r="D1650" s="56"/>
      <c r="E1650" s="56"/>
      <c r="F1650" s="56"/>
      <c r="G1650" s="56"/>
      <c r="H1650" s="56"/>
      <c r="I1650" s="56"/>
      <c r="J1650" s="56"/>
      <c r="K1650" s="56"/>
    </row>
    <row r="1651" spans="1:11" ht="12.75">
      <c r="A1651" s="57"/>
      <c r="B1651" s="56"/>
      <c r="C1651" s="57"/>
      <c r="D1651" s="56"/>
      <c r="E1651" s="56"/>
      <c r="F1651" s="56"/>
      <c r="G1651" s="56"/>
      <c r="H1651" s="56"/>
      <c r="I1651" s="56"/>
      <c r="J1651" s="56"/>
      <c r="K1651" s="56"/>
    </row>
    <row r="1652" spans="1:11" ht="12.75">
      <c r="A1652" s="57">
        <v>3</v>
      </c>
      <c r="B1652" s="56" t="s">
        <v>334</v>
      </c>
      <c r="C1652" s="57" t="s">
        <v>331</v>
      </c>
      <c r="D1652" s="56"/>
      <c r="E1652" s="56"/>
      <c r="F1652" s="56"/>
      <c r="G1652" s="56"/>
      <c r="H1652" s="56"/>
      <c r="I1652" s="56"/>
      <c r="J1652" s="56"/>
      <c r="K1652" s="56"/>
    </row>
    <row r="1653" spans="1:11" ht="12.75">
      <c r="A1653" s="57"/>
      <c r="B1653" s="56" t="s">
        <v>332</v>
      </c>
      <c r="C1653" s="57"/>
      <c r="D1653" s="56"/>
      <c r="E1653" s="56"/>
      <c r="F1653" s="56"/>
      <c r="G1653" s="56"/>
      <c r="H1653" s="56"/>
      <c r="I1653" s="56"/>
      <c r="J1653" s="56"/>
      <c r="K1653" s="56"/>
    </row>
    <row r="1654" spans="1:11" ht="12.75">
      <c r="A1654" s="57"/>
      <c r="B1654" s="56"/>
      <c r="C1654" s="57"/>
      <c r="D1654" s="56"/>
      <c r="E1654" s="56"/>
      <c r="F1654" s="56"/>
      <c r="G1654" s="56"/>
      <c r="H1654" s="56"/>
      <c r="I1654" s="56"/>
      <c r="J1654" s="56"/>
      <c r="K1654" s="56"/>
    </row>
    <row r="1655" spans="1:11" ht="12.75">
      <c r="A1655" s="57">
        <v>4</v>
      </c>
      <c r="B1655" s="56" t="s">
        <v>335</v>
      </c>
      <c r="C1655" s="57" t="s">
        <v>337</v>
      </c>
      <c r="D1655" s="56"/>
      <c r="E1655" s="56"/>
      <c r="F1655" s="56"/>
      <c r="G1655" s="56"/>
      <c r="H1655" s="56"/>
      <c r="I1655" s="56"/>
      <c r="J1655" s="56"/>
      <c r="K1655" s="56"/>
    </row>
    <row r="1656" spans="1:11" ht="12.75">
      <c r="A1656" s="57"/>
      <c r="B1656" s="56" t="s">
        <v>332</v>
      </c>
      <c r="C1656" s="57"/>
      <c r="D1656" s="56"/>
      <c r="E1656" s="56"/>
      <c r="F1656" s="56"/>
      <c r="G1656" s="56"/>
      <c r="H1656" s="56"/>
      <c r="I1656" s="56"/>
      <c r="J1656" s="56"/>
      <c r="K1656" s="56"/>
    </row>
    <row r="1657" spans="1:11" ht="12.75">
      <c r="A1657" s="57"/>
      <c r="B1657" s="56"/>
      <c r="C1657" s="57"/>
      <c r="D1657" s="56"/>
      <c r="E1657" s="56"/>
      <c r="F1657" s="56"/>
      <c r="G1657" s="56"/>
      <c r="H1657" s="56"/>
      <c r="I1657" s="56"/>
      <c r="J1657" s="56"/>
      <c r="K1657" s="56"/>
    </row>
    <row r="1658" spans="1:11" ht="12.75">
      <c r="A1658" s="57">
        <v>5</v>
      </c>
      <c r="B1658" s="56" t="s">
        <v>336</v>
      </c>
      <c r="C1658" s="57" t="s">
        <v>338</v>
      </c>
      <c r="D1658" s="56"/>
      <c r="E1658" s="56"/>
      <c r="F1658" s="56"/>
      <c r="G1658" s="56"/>
      <c r="H1658" s="56"/>
      <c r="I1658" s="56"/>
      <c r="J1658" s="56"/>
      <c r="K1658" s="56"/>
    </row>
    <row r="1659" spans="1:11" ht="12.75">
      <c r="A1659" s="56"/>
      <c r="B1659" s="56" t="s">
        <v>332</v>
      </c>
      <c r="C1659" s="57"/>
      <c r="D1659" s="56"/>
      <c r="E1659" s="56"/>
      <c r="F1659" s="56"/>
      <c r="G1659" s="56"/>
      <c r="H1659" s="56"/>
      <c r="I1659" s="56"/>
      <c r="J1659" s="56"/>
      <c r="K1659" s="56"/>
    </row>
    <row r="1660" spans="1:11" ht="12.75">
      <c r="A1660" s="56"/>
      <c r="B1660" s="56"/>
      <c r="C1660" s="56"/>
      <c r="D1660" s="56"/>
      <c r="E1660" s="56"/>
      <c r="F1660" s="56"/>
      <c r="G1660" s="56"/>
      <c r="H1660" s="56"/>
      <c r="I1660" s="56"/>
      <c r="J1660" s="56"/>
      <c r="K1660" s="56"/>
    </row>
    <row r="1661" spans="1:11" ht="12.75">
      <c r="A1661" s="54"/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</row>
    <row r="1662" spans="1:11" ht="12.75">
      <c r="A1662" s="54"/>
      <c r="B1662" s="54" t="s">
        <v>339</v>
      </c>
      <c r="C1662" s="54"/>
      <c r="D1662" s="54"/>
      <c r="E1662" s="54"/>
      <c r="F1662" s="54"/>
      <c r="G1662" s="54"/>
      <c r="H1662" s="54"/>
      <c r="I1662" s="54"/>
      <c r="J1662" s="54" t="s">
        <v>247</v>
      </c>
      <c r="K1662" s="54"/>
    </row>
    <row r="1680" spans="1:11" ht="12.75">
      <c r="A1680" s="54"/>
      <c r="B1680" s="54" t="s">
        <v>315</v>
      </c>
      <c r="C1680" s="54"/>
      <c r="D1680" s="54"/>
      <c r="E1680" s="54"/>
      <c r="F1680" s="54"/>
      <c r="G1680" s="54"/>
      <c r="H1680" s="54" t="s">
        <v>316</v>
      </c>
      <c r="I1680" s="54"/>
      <c r="J1680" s="54"/>
      <c r="K1680" s="54"/>
    </row>
    <row r="1681" spans="1:11" ht="12.75">
      <c r="A1681" s="54"/>
      <c r="B1681" s="54"/>
      <c r="C1681" s="54"/>
      <c r="D1681" s="54" t="s">
        <v>329</v>
      </c>
      <c r="E1681" s="54"/>
      <c r="F1681" s="54"/>
      <c r="G1681" s="54"/>
      <c r="H1681" s="54"/>
      <c r="I1681" s="54"/>
      <c r="J1681" s="54"/>
      <c r="K1681" s="54"/>
    </row>
    <row r="1682" spans="1:11" ht="12.75">
      <c r="A1682" s="54"/>
      <c r="B1682" s="54"/>
      <c r="C1682" s="54"/>
      <c r="D1682" s="54"/>
      <c r="E1682" s="54"/>
      <c r="F1682" s="54"/>
      <c r="G1682" s="54"/>
      <c r="H1682" s="54"/>
      <c r="I1682" s="54"/>
      <c r="J1682" s="58" t="s">
        <v>341</v>
      </c>
      <c r="K1682" s="58"/>
    </row>
    <row r="1683" spans="1:11" ht="12.75">
      <c r="A1683" s="209" t="s">
        <v>0</v>
      </c>
      <c r="B1683" s="209" t="s">
        <v>317</v>
      </c>
      <c r="C1683" s="209" t="s">
        <v>318</v>
      </c>
      <c r="D1683" s="209" t="s">
        <v>319</v>
      </c>
      <c r="E1683" s="212" t="s">
        <v>320</v>
      </c>
      <c r="F1683" s="213"/>
      <c r="G1683" s="213"/>
      <c r="H1683" s="213"/>
      <c r="I1683" s="214"/>
      <c r="J1683" s="209" t="s">
        <v>326</v>
      </c>
      <c r="K1683" s="209" t="s">
        <v>327</v>
      </c>
    </row>
    <row r="1684" spans="1:11" ht="12.75">
      <c r="A1684" s="210"/>
      <c r="B1684" s="210"/>
      <c r="C1684" s="210"/>
      <c r="D1684" s="210"/>
      <c r="E1684" s="212" t="s">
        <v>321</v>
      </c>
      <c r="F1684" s="214"/>
      <c r="G1684" s="212" t="s">
        <v>322</v>
      </c>
      <c r="H1684" s="214"/>
      <c r="I1684" s="209" t="s">
        <v>325</v>
      </c>
      <c r="J1684" s="210"/>
      <c r="K1684" s="210"/>
    </row>
    <row r="1685" spans="1:11" ht="56.25">
      <c r="A1685" s="211"/>
      <c r="B1685" s="211"/>
      <c r="C1685" s="211"/>
      <c r="D1685" s="211"/>
      <c r="E1685" s="55" t="s">
        <v>328</v>
      </c>
      <c r="F1685" s="55" t="s">
        <v>328</v>
      </c>
      <c r="G1685" s="55" t="s">
        <v>323</v>
      </c>
      <c r="H1685" s="55" t="s">
        <v>324</v>
      </c>
      <c r="I1685" s="211"/>
      <c r="J1685" s="211"/>
      <c r="K1685" s="211"/>
    </row>
    <row r="1686" spans="1:11" ht="12.75">
      <c r="A1686" s="53">
        <v>1</v>
      </c>
      <c r="B1686" s="53">
        <v>2</v>
      </c>
      <c r="C1686" s="53">
        <v>3</v>
      </c>
      <c r="D1686" s="53">
        <v>4</v>
      </c>
      <c r="E1686" s="53">
        <v>5</v>
      </c>
      <c r="F1686" s="53">
        <v>6</v>
      </c>
      <c r="G1686" s="53">
        <v>7</v>
      </c>
      <c r="H1686" s="53">
        <v>8</v>
      </c>
      <c r="I1686" s="53">
        <v>9</v>
      </c>
      <c r="J1686" s="53">
        <v>10</v>
      </c>
      <c r="K1686" s="53">
        <v>11</v>
      </c>
    </row>
    <row r="1687" spans="1:11" ht="12.75">
      <c r="A1687" s="56"/>
      <c r="B1687" s="56"/>
      <c r="C1687" s="56"/>
      <c r="D1687" s="56"/>
      <c r="E1687" s="56"/>
      <c r="F1687" s="56"/>
      <c r="G1687" s="56"/>
      <c r="H1687" s="56"/>
      <c r="I1687" s="56"/>
      <c r="J1687" s="56"/>
      <c r="K1687" s="56"/>
    </row>
    <row r="1688" spans="1:11" ht="12.75">
      <c r="A1688" s="57">
        <v>1</v>
      </c>
      <c r="B1688" s="56" t="s">
        <v>330</v>
      </c>
      <c r="C1688" s="57" t="s">
        <v>331</v>
      </c>
      <c r="D1688" s="56"/>
      <c r="E1688" s="56"/>
      <c r="F1688" s="56"/>
      <c r="G1688" s="56"/>
      <c r="H1688" s="56"/>
      <c r="I1688" s="56"/>
      <c r="J1688" s="56"/>
      <c r="K1688" s="56"/>
    </row>
    <row r="1689" spans="1:11" ht="12.75">
      <c r="A1689" s="57"/>
      <c r="B1689" s="56" t="s">
        <v>332</v>
      </c>
      <c r="C1689" s="57"/>
      <c r="D1689" s="56"/>
      <c r="E1689" s="56"/>
      <c r="F1689" s="56"/>
      <c r="G1689" s="56"/>
      <c r="H1689" s="56"/>
      <c r="I1689" s="56"/>
      <c r="J1689" s="56"/>
      <c r="K1689" s="56"/>
    </row>
    <row r="1690" spans="1:11" ht="12.75">
      <c r="A1690" s="57"/>
      <c r="B1690" s="56"/>
      <c r="C1690" s="54"/>
      <c r="D1690" s="56"/>
      <c r="E1690" s="56"/>
      <c r="F1690" s="56"/>
      <c r="G1690" s="56"/>
      <c r="H1690" s="56"/>
      <c r="I1690" s="56"/>
      <c r="J1690" s="56"/>
      <c r="K1690" s="56"/>
    </row>
    <row r="1691" spans="1:11" ht="12.75">
      <c r="A1691" s="57">
        <v>2</v>
      </c>
      <c r="B1691" s="56" t="s">
        <v>333</v>
      </c>
      <c r="C1691" s="57" t="s">
        <v>331</v>
      </c>
      <c r="D1691" s="56"/>
      <c r="E1691" s="56"/>
      <c r="F1691" s="56"/>
      <c r="G1691" s="56"/>
      <c r="H1691" s="56"/>
      <c r="I1691" s="56"/>
      <c r="J1691" s="56"/>
      <c r="K1691" s="56"/>
    </row>
    <row r="1692" spans="1:11" ht="12.75">
      <c r="A1692" s="57"/>
      <c r="B1692" s="56" t="s">
        <v>332</v>
      </c>
      <c r="C1692" s="57"/>
      <c r="D1692" s="56"/>
      <c r="E1692" s="56"/>
      <c r="F1692" s="56"/>
      <c r="G1692" s="56"/>
      <c r="H1692" s="56"/>
      <c r="I1692" s="56"/>
      <c r="J1692" s="56"/>
      <c r="K1692" s="56"/>
    </row>
    <row r="1693" spans="1:11" ht="12.75">
      <c r="A1693" s="57"/>
      <c r="B1693" s="56"/>
      <c r="C1693" s="57"/>
      <c r="D1693" s="56"/>
      <c r="E1693" s="56"/>
      <c r="F1693" s="56"/>
      <c r="G1693" s="56"/>
      <c r="H1693" s="56"/>
      <c r="I1693" s="56"/>
      <c r="J1693" s="56"/>
      <c r="K1693" s="56"/>
    </row>
    <row r="1694" spans="1:11" ht="12.75">
      <c r="A1694" s="57">
        <v>3</v>
      </c>
      <c r="B1694" s="56" t="s">
        <v>334</v>
      </c>
      <c r="C1694" s="57" t="s">
        <v>331</v>
      </c>
      <c r="D1694" s="56"/>
      <c r="E1694" s="56"/>
      <c r="F1694" s="56"/>
      <c r="G1694" s="56"/>
      <c r="H1694" s="56"/>
      <c r="I1694" s="56"/>
      <c r="J1694" s="56"/>
      <c r="K1694" s="56"/>
    </row>
    <row r="1695" spans="1:11" ht="12.75">
      <c r="A1695" s="57"/>
      <c r="B1695" s="56" t="s">
        <v>332</v>
      </c>
      <c r="C1695" s="57"/>
      <c r="D1695" s="56"/>
      <c r="E1695" s="56"/>
      <c r="F1695" s="56"/>
      <c r="G1695" s="56"/>
      <c r="H1695" s="56"/>
      <c r="I1695" s="56"/>
      <c r="J1695" s="56"/>
      <c r="K1695" s="56"/>
    </row>
    <row r="1696" spans="1:11" ht="12.75">
      <c r="A1696" s="57"/>
      <c r="B1696" s="56"/>
      <c r="C1696" s="57"/>
      <c r="D1696" s="56"/>
      <c r="E1696" s="56"/>
      <c r="F1696" s="56"/>
      <c r="G1696" s="56"/>
      <c r="H1696" s="56"/>
      <c r="I1696" s="56"/>
      <c r="J1696" s="56"/>
      <c r="K1696" s="56"/>
    </row>
    <row r="1697" spans="1:11" ht="12.75">
      <c r="A1697" s="57">
        <v>4</v>
      </c>
      <c r="B1697" s="56" t="s">
        <v>335</v>
      </c>
      <c r="C1697" s="57" t="s">
        <v>337</v>
      </c>
      <c r="D1697" s="56"/>
      <c r="E1697" s="56"/>
      <c r="F1697" s="56"/>
      <c r="G1697" s="56"/>
      <c r="H1697" s="56"/>
      <c r="I1697" s="56"/>
      <c r="J1697" s="56"/>
      <c r="K1697" s="56"/>
    </row>
    <row r="1698" spans="1:11" ht="12.75">
      <c r="A1698" s="57"/>
      <c r="B1698" s="56" t="s">
        <v>332</v>
      </c>
      <c r="C1698" s="57"/>
      <c r="D1698" s="56"/>
      <c r="E1698" s="56"/>
      <c r="F1698" s="56"/>
      <c r="G1698" s="56"/>
      <c r="H1698" s="56"/>
      <c r="I1698" s="56"/>
      <c r="J1698" s="56"/>
      <c r="K1698" s="56"/>
    </row>
    <row r="1699" spans="1:11" ht="12.75">
      <c r="A1699" s="57"/>
      <c r="B1699" s="56"/>
      <c r="C1699" s="57"/>
      <c r="D1699" s="56"/>
      <c r="E1699" s="56"/>
      <c r="F1699" s="56"/>
      <c r="G1699" s="56"/>
      <c r="H1699" s="56"/>
      <c r="I1699" s="56"/>
      <c r="J1699" s="56"/>
      <c r="K1699" s="56"/>
    </row>
    <row r="1700" spans="1:11" ht="12.75">
      <c r="A1700" s="57">
        <v>5</v>
      </c>
      <c r="B1700" s="56" t="s">
        <v>336</v>
      </c>
      <c r="C1700" s="57" t="s">
        <v>338</v>
      </c>
      <c r="D1700" s="56"/>
      <c r="E1700" s="56"/>
      <c r="F1700" s="56"/>
      <c r="G1700" s="56"/>
      <c r="H1700" s="56"/>
      <c r="I1700" s="56"/>
      <c r="J1700" s="56"/>
      <c r="K1700" s="56"/>
    </row>
    <row r="1701" spans="1:11" ht="12.75">
      <c r="A1701" s="56"/>
      <c r="B1701" s="56" t="s">
        <v>332</v>
      </c>
      <c r="C1701" s="57"/>
      <c r="D1701" s="56"/>
      <c r="E1701" s="56"/>
      <c r="F1701" s="56"/>
      <c r="G1701" s="56"/>
      <c r="H1701" s="56"/>
      <c r="I1701" s="56"/>
      <c r="J1701" s="56"/>
      <c r="K1701" s="56"/>
    </row>
    <row r="1702" spans="1:11" ht="12.75">
      <c r="A1702" s="56"/>
      <c r="B1702" s="56"/>
      <c r="C1702" s="56"/>
      <c r="D1702" s="56"/>
      <c r="E1702" s="56"/>
      <c r="F1702" s="56"/>
      <c r="G1702" s="56"/>
      <c r="H1702" s="56"/>
      <c r="I1702" s="56"/>
      <c r="J1702" s="56"/>
      <c r="K1702" s="56"/>
    </row>
    <row r="1703" spans="1:11" ht="12.75">
      <c r="A1703" s="54"/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</row>
    <row r="1704" spans="1:11" ht="12.75">
      <c r="A1704" s="54"/>
      <c r="B1704" s="54" t="s">
        <v>339</v>
      </c>
      <c r="C1704" s="54"/>
      <c r="D1704" s="54"/>
      <c r="E1704" s="54"/>
      <c r="F1704" s="54"/>
      <c r="G1704" s="54"/>
      <c r="H1704" s="54"/>
      <c r="I1704" s="54"/>
      <c r="J1704" s="54" t="s">
        <v>247</v>
      </c>
      <c r="K1704" s="54"/>
    </row>
    <row r="1722" spans="1:11" ht="12.75">
      <c r="A1722" s="54"/>
      <c r="B1722" s="54" t="s">
        <v>315</v>
      </c>
      <c r="C1722" s="54"/>
      <c r="D1722" s="54"/>
      <c r="E1722" s="54"/>
      <c r="F1722" s="54"/>
      <c r="G1722" s="54"/>
      <c r="H1722" s="54" t="s">
        <v>316</v>
      </c>
      <c r="I1722" s="54"/>
      <c r="J1722" s="54"/>
      <c r="K1722" s="54"/>
    </row>
    <row r="1723" spans="1:11" ht="12.75">
      <c r="A1723" s="54"/>
      <c r="B1723" s="54"/>
      <c r="C1723" s="54"/>
      <c r="D1723" s="54" t="s">
        <v>329</v>
      </c>
      <c r="E1723" s="54"/>
      <c r="F1723" s="54"/>
      <c r="G1723" s="54"/>
      <c r="H1723" s="54"/>
      <c r="I1723" s="54"/>
      <c r="J1723" s="54"/>
      <c r="K1723" s="54"/>
    </row>
    <row r="1724" spans="1:11" ht="12.75">
      <c r="A1724" s="54"/>
      <c r="B1724" s="54"/>
      <c r="C1724" s="54"/>
      <c r="D1724" s="54"/>
      <c r="E1724" s="54"/>
      <c r="F1724" s="54"/>
      <c r="G1724" s="54"/>
      <c r="H1724" s="54"/>
      <c r="I1724" s="54"/>
      <c r="J1724" s="58" t="s">
        <v>341</v>
      </c>
      <c r="K1724" s="58"/>
    </row>
    <row r="1725" spans="1:11" ht="12.75">
      <c r="A1725" s="209" t="s">
        <v>0</v>
      </c>
      <c r="B1725" s="209" t="s">
        <v>317</v>
      </c>
      <c r="C1725" s="209" t="s">
        <v>318</v>
      </c>
      <c r="D1725" s="209" t="s">
        <v>319</v>
      </c>
      <c r="E1725" s="212" t="s">
        <v>320</v>
      </c>
      <c r="F1725" s="213"/>
      <c r="G1725" s="213"/>
      <c r="H1725" s="213"/>
      <c r="I1725" s="214"/>
      <c r="J1725" s="209" t="s">
        <v>326</v>
      </c>
      <c r="K1725" s="209" t="s">
        <v>327</v>
      </c>
    </row>
    <row r="1726" spans="1:11" ht="12.75">
      <c r="A1726" s="210"/>
      <c r="B1726" s="210"/>
      <c r="C1726" s="210"/>
      <c r="D1726" s="210"/>
      <c r="E1726" s="212" t="s">
        <v>321</v>
      </c>
      <c r="F1726" s="214"/>
      <c r="G1726" s="212" t="s">
        <v>322</v>
      </c>
      <c r="H1726" s="214"/>
      <c r="I1726" s="209" t="s">
        <v>325</v>
      </c>
      <c r="J1726" s="210"/>
      <c r="K1726" s="210"/>
    </row>
    <row r="1727" spans="1:11" ht="56.25">
      <c r="A1727" s="211"/>
      <c r="B1727" s="211"/>
      <c r="C1727" s="211"/>
      <c r="D1727" s="211"/>
      <c r="E1727" s="55" t="s">
        <v>328</v>
      </c>
      <c r="F1727" s="55" t="s">
        <v>328</v>
      </c>
      <c r="G1727" s="55" t="s">
        <v>323</v>
      </c>
      <c r="H1727" s="55" t="s">
        <v>324</v>
      </c>
      <c r="I1727" s="211"/>
      <c r="J1727" s="211"/>
      <c r="K1727" s="211"/>
    </row>
    <row r="1728" spans="1:11" ht="12.75">
      <c r="A1728" s="53">
        <v>1</v>
      </c>
      <c r="B1728" s="53">
        <v>2</v>
      </c>
      <c r="C1728" s="53">
        <v>3</v>
      </c>
      <c r="D1728" s="53">
        <v>4</v>
      </c>
      <c r="E1728" s="53">
        <v>5</v>
      </c>
      <c r="F1728" s="53">
        <v>6</v>
      </c>
      <c r="G1728" s="53">
        <v>7</v>
      </c>
      <c r="H1728" s="53">
        <v>8</v>
      </c>
      <c r="I1728" s="53">
        <v>9</v>
      </c>
      <c r="J1728" s="53">
        <v>10</v>
      </c>
      <c r="K1728" s="53">
        <v>11</v>
      </c>
    </row>
    <row r="1729" spans="1:11" ht="12.75">
      <c r="A1729" s="56"/>
      <c r="B1729" s="56"/>
      <c r="C1729" s="56"/>
      <c r="D1729" s="56"/>
      <c r="E1729" s="56"/>
      <c r="F1729" s="56"/>
      <c r="G1729" s="56"/>
      <c r="H1729" s="56"/>
      <c r="I1729" s="56"/>
      <c r="J1729" s="56"/>
      <c r="K1729" s="56"/>
    </row>
    <row r="1730" spans="1:11" ht="12.75">
      <c r="A1730" s="57">
        <v>1</v>
      </c>
      <c r="B1730" s="56" t="s">
        <v>330</v>
      </c>
      <c r="C1730" s="57" t="s">
        <v>331</v>
      </c>
      <c r="D1730" s="56"/>
      <c r="E1730" s="56"/>
      <c r="F1730" s="56"/>
      <c r="G1730" s="56"/>
      <c r="H1730" s="56"/>
      <c r="I1730" s="56"/>
      <c r="J1730" s="56"/>
      <c r="K1730" s="56"/>
    </row>
    <row r="1731" spans="1:11" ht="12.75">
      <c r="A1731" s="57"/>
      <c r="B1731" s="56" t="s">
        <v>332</v>
      </c>
      <c r="C1731" s="57"/>
      <c r="D1731" s="56"/>
      <c r="E1731" s="56"/>
      <c r="F1731" s="56"/>
      <c r="G1731" s="56"/>
      <c r="H1731" s="56"/>
      <c r="I1731" s="56"/>
      <c r="J1731" s="56"/>
      <c r="K1731" s="56"/>
    </row>
    <row r="1732" spans="1:11" ht="12.75">
      <c r="A1732" s="57"/>
      <c r="B1732" s="56"/>
      <c r="C1732" s="54"/>
      <c r="D1732" s="56"/>
      <c r="E1732" s="56"/>
      <c r="F1732" s="56"/>
      <c r="G1732" s="56"/>
      <c r="H1732" s="56"/>
      <c r="I1732" s="56"/>
      <c r="J1732" s="56"/>
      <c r="K1732" s="56"/>
    </row>
    <row r="1733" spans="1:11" ht="12.75">
      <c r="A1733" s="57">
        <v>2</v>
      </c>
      <c r="B1733" s="56" t="s">
        <v>333</v>
      </c>
      <c r="C1733" s="57" t="s">
        <v>331</v>
      </c>
      <c r="D1733" s="56"/>
      <c r="E1733" s="56"/>
      <c r="F1733" s="56"/>
      <c r="G1733" s="56"/>
      <c r="H1733" s="56"/>
      <c r="I1733" s="56"/>
      <c r="J1733" s="56"/>
      <c r="K1733" s="56"/>
    </row>
    <row r="1734" spans="1:11" ht="12.75">
      <c r="A1734" s="57"/>
      <c r="B1734" s="56" t="s">
        <v>332</v>
      </c>
      <c r="C1734" s="57"/>
      <c r="D1734" s="56"/>
      <c r="E1734" s="56"/>
      <c r="F1734" s="56"/>
      <c r="G1734" s="56"/>
      <c r="H1734" s="56"/>
      <c r="I1734" s="56"/>
      <c r="J1734" s="56"/>
      <c r="K1734" s="56"/>
    </row>
    <row r="1735" spans="1:11" ht="12.75">
      <c r="A1735" s="57"/>
      <c r="B1735" s="56"/>
      <c r="C1735" s="57"/>
      <c r="D1735" s="56"/>
      <c r="E1735" s="56"/>
      <c r="F1735" s="56"/>
      <c r="G1735" s="56"/>
      <c r="H1735" s="56"/>
      <c r="I1735" s="56"/>
      <c r="J1735" s="56"/>
      <c r="K1735" s="56"/>
    </row>
    <row r="1736" spans="1:11" ht="12.75">
      <c r="A1736" s="57">
        <v>3</v>
      </c>
      <c r="B1736" s="56" t="s">
        <v>334</v>
      </c>
      <c r="C1736" s="57" t="s">
        <v>331</v>
      </c>
      <c r="D1736" s="56"/>
      <c r="E1736" s="56"/>
      <c r="F1736" s="56"/>
      <c r="G1736" s="56"/>
      <c r="H1736" s="56"/>
      <c r="I1736" s="56"/>
      <c r="J1736" s="56"/>
      <c r="K1736" s="56"/>
    </row>
    <row r="1737" spans="1:11" ht="12.75">
      <c r="A1737" s="57"/>
      <c r="B1737" s="56" t="s">
        <v>332</v>
      </c>
      <c r="C1737" s="57"/>
      <c r="D1737" s="56"/>
      <c r="E1737" s="56"/>
      <c r="F1737" s="56"/>
      <c r="G1737" s="56"/>
      <c r="H1737" s="56"/>
      <c r="I1737" s="56"/>
      <c r="J1737" s="56"/>
      <c r="K1737" s="56"/>
    </row>
    <row r="1738" spans="1:11" ht="12.75">
      <c r="A1738" s="57"/>
      <c r="B1738" s="56"/>
      <c r="C1738" s="57"/>
      <c r="D1738" s="56"/>
      <c r="E1738" s="56"/>
      <c r="F1738" s="56"/>
      <c r="G1738" s="56"/>
      <c r="H1738" s="56"/>
      <c r="I1738" s="56"/>
      <c r="J1738" s="56"/>
      <c r="K1738" s="56"/>
    </row>
    <row r="1739" spans="1:11" ht="12.75">
      <c r="A1739" s="57">
        <v>4</v>
      </c>
      <c r="B1739" s="56" t="s">
        <v>335</v>
      </c>
      <c r="C1739" s="57" t="s">
        <v>337</v>
      </c>
      <c r="D1739" s="56"/>
      <c r="E1739" s="56"/>
      <c r="F1739" s="56"/>
      <c r="G1739" s="56"/>
      <c r="H1739" s="56"/>
      <c r="I1739" s="56"/>
      <c r="J1739" s="56"/>
      <c r="K1739" s="56"/>
    </row>
    <row r="1740" spans="1:11" ht="12.75">
      <c r="A1740" s="57"/>
      <c r="B1740" s="56" t="s">
        <v>332</v>
      </c>
      <c r="C1740" s="57"/>
      <c r="D1740" s="56"/>
      <c r="E1740" s="56"/>
      <c r="F1740" s="56"/>
      <c r="G1740" s="56"/>
      <c r="H1740" s="56"/>
      <c r="I1740" s="56"/>
      <c r="J1740" s="56"/>
      <c r="K1740" s="56"/>
    </row>
    <row r="1741" spans="1:11" ht="12.75">
      <c r="A1741" s="57"/>
      <c r="B1741" s="56"/>
      <c r="C1741" s="57"/>
      <c r="D1741" s="56"/>
      <c r="E1741" s="56"/>
      <c r="F1741" s="56"/>
      <c r="G1741" s="56"/>
      <c r="H1741" s="56"/>
      <c r="I1741" s="56"/>
      <c r="J1741" s="56"/>
      <c r="K1741" s="56"/>
    </row>
    <row r="1742" spans="1:11" ht="12.75">
      <c r="A1742" s="57">
        <v>5</v>
      </c>
      <c r="B1742" s="56" t="s">
        <v>336</v>
      </c>
      <c r="C1742" s="57" t="s">
        <v>338</v>
      </c>
      <c r="D1742" s="56"/>
      <c r="E1742" s="56"/>
      <c r="F1742" s="56"/>
      <c r="G1742" s="56"/>
      <c r="H1742" s="56"/>
      <c r="I1742" s="56"/>
      <c r="J1742" s="56"/>
      <c r="K1742" s="56"/>
    </row>
    <row r="1743" spans="1:11" ht="12.75">
      <c r="A1743" s="56"/>
      <c r="B1743" s="56" t="s">
        <v>332</v>
      </c>
      <c r="C1743" s="57"/>
      <c r="D1743" s="56"/>
      <c r="E1743" s="56"/>
      <c r="F1743" s="56"/>
      <c r="G1743" s="56"/>
      <c r="H1743" s="56"/>
      <c r="I1743" s="56"/>
      <c r="J1743" s="56"/>
      <c r="K1743" s="56"/>
    </row>
    <row r="1744" spans="1:11" ht="12.75">
      <c r="A1744" s="56"/>
      <c r="B1744" s="56"/>
      <c r="C1744" s="56"/>
      <c r="D1744" s="56"/>
      <c r="E1744" s="56"/>
      <c r="F1744" s="56"/>
      <c r="G1744" s="56"/>
      <c r="H1744" s="56"/>
      <c r="I1744" s="56"/>
      <c r="J1744" s="56"/>
      <c r="K1744" s="56"/>
    </row>
    <row r="1745" spans="1:11" ht="12.75">
      <c r="A1745" s="54"/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</row>
    <row r="1746" spans="1:11" ht="12.75">
      <c r="A1746" s="54"/>
      <c r="B1746" s="54" t="s">
        <v>339</v>
      </c>
      <c r="C1746" s="54"/>
      <c r="D1746" s="54"/>
      <c r="E1746" s="54"/>
      <c r="F1746" s="54"/>
      <c r="G1746" s="54"/>
      <c r="H1746" s="54"/>
      <c r="I1746" s="54"/>
      <c r="J1746" s="54" t="s">
        <v>247</v>
      </c>
      <c r="K1746" s="54"/>
    </row>
    <row r="1764" spans="1:11" ht="12.75">
      <c r="A1764" s="54"/>
      <c r="B1764" s="54" t="s">
        <v>315</v>
      </c>
      <c r="C1764" s="54"/>
      <c r="D1764" s="54"/>
      <c r="E1764" s="54"/>
      <c r="F1764" s="54"/>
      <c r="G1764" s="54"/>
      <c r="H1764" s="54" t="s">
        <v>316</v>
      </c>
      <c r="I1764" s="54"/>
      <c r="J1764" s="54"/>
      <c r="K1764" s="54"/>
    </row>
    <row r="1765" spans="1:11" ht="12.75">
      <c r="A1765" s="54"/>
      <c r="B1765" s="54"/>
      <c r="C1765" s="54"/>
      <c r="D1765" s="54" t="s">
        <v>329</v>
      </c>
      <c r="E1765" s="54"/>
      <c r="F1765" s="54"/>
      <c r="G1765" s="54"/>
      <c r="H1765" s="54"/>
      <c r="I1765" s="54"/>
      <c r="J1765" s="54"/>
      <c r="K1765" s="54"/>
    </row>
    <row r="1766" spans="1:11" ht="12.75">
      <c r="A1766" s="54"/>
      <c r="B1766" s="54"/>
      <c r="C1766" s="54"/>
      <c r="D1766" s="54"/>
      <c r="E1766" s="54"/>
      <c r="F1766" s="54"/>
      <c r="G1766" s="54"/>
      <c r="H1766" s="54"/>
      <c r="I1766" s="54"/>
      <c r="J1766" s="58" t="s">
        <v>341</v>
      </c>
      <c r="K1766" s="58"/>
    </row>
    <row r="1767" spans="1:11" ht="12.75">
      <c r="A1767" s="209" t="s">
        <v>0</v>
      </c>
      <c r="B1767" s="209" t="s">
        <v>317</v>
      </c>
      <c r="C1767" s="209" t="s">
        <v>318</v>
      </c>
      <c r="D1767" s="209" t="s">
        <v>319</v>
      </c>
      <c r="E1767" s="212" t="s">
        <v>320</v>
      </c>
      <c r="F1767" s="213"/>
      <c r="G1767" s="213"/>
      <c r="H1767" s="213"/>
      <c r="I1767" s="214"/>
      <c r="J1767" s="209" t="s">
        <v>326</v>
      </c>
      <c r="K1767" s="209" t="s">
        <v>327</v>
      </c>
    </row>
    <row r="1768" spans="1:11" ht="12.75">
      <c r="A1768" s="210"/>
      <c r="B1768" s="210"/>
      <c r="C1768" s="210"/>
      <c r="D1768" s="210"/>
      <c r="E1768" s="212" t="s">
        <v>321</v>
      </c>
      <c r="F1768" s="214"/>
      <c r="G1768" s="212" t="s">
        <v>322</v>
      </c>
      <c r="H1768" s="214"/>
      <c r="I1768" s="209" t="s">
        <v>325</v>
      </c>
      <c r="J1768" s="210"/>
      <c r="K1768" s="210"/>
    </row>
    <row r="1769" spans="1:11" ht="56.25">
      <c r="A1769" s="211"/>
      <c r="B1769" s="211"/>
      <c r="C1769" s="211"/>
      <c r="D1769" s="211"/>
      <c r="E1769" s="55" t="s">
        <v>328</v>
      </c>
      <c r="F1769" s="55" t="s">
        <v>328</v>
      </c>
      <c r="G1769" s="55" t="s">
        <v>323</v>
      </c>
      <c r="H1769" s="55" t="s">
        <v>324</v>
      </c>
      <c r="I1769" s="211"/>
      <c r="J1769" s="211"/>
      <c r="K1769" s="211"/>
    </row>
    <row r="1770" spans="1:11" ht="12.75">
      <c r="A1770" s="53">
        <v>1</v>
      </c>
      <c r="B1770" s="53">
        <v>2</v>
      </c>
      <c r="C1770" s="53">
        <v>3</v>
      </c>
      <c r="D1770" s="53">
        <v>4</v>
      </c>
      <c r="E1770" s="53">
        <v>5</v>
      </c>
      <c r="F1770" s="53">
        <v>6</v>
      </c>
      <c r="G1770" s="53">
        <v>7</v>
      </c>
      <c r="H1770" s="53">
        <v>8</v>
      </c>
      <c r="I1770" s="53">
        <v>9</v>
      </c>
      <c r="J1770" s="53">
        <v>10</v>
      </c>
      <c r="K1770" s="53">
        <v>11</v>
      </c>
    </row>
    <row r="1771" spans="1:11" ht="12.75">
      <c r="A1771" s="56"/>
      <c r="B1771" s="56"/>
      <c r="C1771" s="56"/>
      <c r="D1771" s="56"/>
      <c r="E1771" s="56"/>
      <c r="F1771" s="56"/>
      <c r="G1771" s="56"/>
      <c r="H1771" s="56"/>
      <c r="I1771" s="56"/>
      <c r="J1771" s="56"/>
      <c r="K1771" s="56"/>
    </row>
    <row r="1772" spans="1:11" ht="12.75">
      <c r="A1772" s="57">
        <v>1</v>
      </c>
      <c r="B1772" s="56" t="s">
        <v>330</v>
      </c>
      <c r="C1772" s="57" t="s">
        <v>331</v>
      </c>
      <c r="D1772" s="56"/>
      <c r="E1772" s="56"/>
      <c r="F1772" s="56"/>
      <c r="G1772" s="56"/>
      <c r="H1772" s="56"/>
      <c r="I1772" s="56"/>
      <c r="J1772" s="56"/>
      <c r="K1772" s="56"/>
    </row>
    <row r="1773" spans="1:11" ht="12.75">
      <c r="A1773" s="57"/>
      <c r="B1773" s="56" t="s">
        <v>332</v>
      </c>
      <c r="C1773" s="57"/>
      <c r="D1773" s="56"/>
      <c r="E1773" s="56"/>
      <c r="F1773" s="56"/>
      <c r="G1773" s="56"/>
      <c r="H1773" s="56"/>
      <c r="I1773" s="56"/>
      <c r="J1773" s="56"/>
      <c r="K1773" s="56"/>
    </row>
    <row r="1774" spans="1:11" ht="12.75">
      <c r="A1774" s="57"/>
      <c r="B1774" s="56"/>
      <c r="C1774" s="54"/>
      <c r="D1774" s="56"/>
      <c r="E1774" s="56"/>
      <c r="F1774" s="56"/>
      <c r="G1774" s="56"/>
      <c r="H1774" s="56"/>
      <c r="I1774" s="56"/>
      <c r="J1774" s="56"/>
      <c r="K1774" s="56"/>
    </row>
    <row r="1775" spans="1:11" ht="12.75">
      <c r="A1775" s="57">
        <v>2</v>
      </c>
      <c r="B1775" s="56" t="s">
        <v>333</v>
      </c>
      <c r="C1775" s="57" t="s">
        <v>331</v>
      </c>
      <c r="D1775" s="56"/>
      <c r="E1775" s="56"/>
      <c r="F1775" s="56"/>
      <c r="G1775" s="56"/>
      <c r="H1775" s="56"/>
      <c r="I1775" s="56"/>
      <c r="J1775" s="56"/>
      <c r="K1775" s="56"/>
    </row>
    <row r="1776" spans="1:11" ht="12.75">
      <c r="A1776" s="57"/>
      <c r="B1776" s="56" t="s">
        <v>332</v>
      </c>
      <c r="C1776" s="57"/>
      <c r="D1776" s="56"/>
      <c r="E1776" s="56"/>
      <c r="F1776" s="56"/>
      <c r="G1776" s="56"/>
      <c r="H1776" s="56"/>
      <c r="I1776" s="56"/>
      <c r="J1776" s="56"/>
      <c r="K1776" s="56"/>
    </row>
    <row r="1777" spans="1:11" ht="12.75">
      <c r="A1777" s="57"/>
      <c r="B1777" s="56"/>
      <c r="C1777" s="57"/>
      <c r="D1777" s="56"/>
      <c r="E1777" s="56"/>
      <c r="F1777" s="56"/>
      <c r="G1777" s="56"/>
      <c r="H1777" s="56"/>
      <c r="I1777" s="56"/>
      <c r="J1777" s="56"/>
      <c r="K1777" s="56"/>
    </row>
    <row r="1778" spans="1:11" ht="12.75">
      <c r="A1778" s="57">
        <v>3</v>
      </c>
      <c r="B1778" s="56" t="s">
        <v>334</v>
      </c>
      <c r="C1778" s="57" t="s">
        <v>331</v>
      </c>
      <c r="D1778" s="56"/>
      <c r="E1778" s="56"/>
      <c r="F1778" s="56"/>
      <c r="G1778" s="56"/>
      <c r="H1778" s="56"/>
      <c r="I1778" s="56"/>
      <c r="J1778" s="56"/>
      <c r="K1778" s="56"/>
    </row>
    <row r="1779" spans="1:11" ht="12.75">
      <c r="A1779" s="57"/>
      <c r="B1779" s="56" t="s">
        <v>332</v>
      </c>
      <c r="C1779" s="57"/>
      <c r="D1779" s="56"/>
      <c r="E1779" s="56"/>
      <c r="F1779" s="56"/>
      <c r="G1779" s="56"/>
      <c r="H1779" s="56"/>
      <c r="I1779" s="56"/>
      <c r="J1779" s="56"/>
      <c r="K1779" s="56"/>
    </row>
    <row r="1780" spans="1:11" ht="12.75">
      <c r="A1780" s="57"/>
      <c r="B1780" s="56"/>
      <c r="C1780" s="57"/>
      <c r="D1780" s="56"/>
      <c r="E1780" s="56"/>
      <c r="F1780" s="56"/>
      <c r="G1780" s="56"/>
      <c r="H1780" s="56"/>
      <c r="I1780" s="56"/>
      <c r="J1780" s="56"/>
      <c r="K1780" s="56"/>
    </row>
    <row r="1781" spans="1:11" ht="12.75">
      <c r="A1781" s="57">
        <v>4</v>
      </c>
      <c r="B1781" s="56" t="s">
        <v>335</v>
      </c>
      <c r="C1781" s="57" t="s">
        <v>337</v>
      </c>
      <c r="D1781" s="56"/>
      <c r="E1781" s="56"/>
      <c r="F1781" s="56"/>
      <c r="G1781" s="56"/>
      <c r="H1781" s="56"/>
      <c r="I1781" s="56"/>
      <c r="J1781" s="56"/>
      <c r="K1781" s="56"/>
    </row>
    <row r="1782" spans="1:11" ht="12.75">
      <c r="A1782" s="57"/>
      <c r="B1782" s="56" t="s">
        <v>332</v>
      </c>
      <c r="C1782" s="57"/>
      <c r="D1782" s="56"/>
      <c r="E1782" s="56"/>
      <c r="F1782" s="56"/>
      <c r="G1782" s="56"/>
      <c r="H1782" s="56"/>
      <c r="I1782" s="56"/>
      <c r="J1782" s="56"/>
      <c r="K1782" s="56"/>
    </row>
    <row r="1783" spans="1:11" ht="12.75">
      <c r="A1783" s="57"/>
      <c r="B1783" s="56"/>
      <c r="C1783" s="57"/>
      <c r="D1783" s="56"/>
      <c r="E1783" s="56"/>
      <c r="F1783" s="56"/>
      <c r="G1783" s="56"/>
      <c r="H1783" s="56"/>
      <c r="I1783" s="56"/>
      <c r="J1783" s="56"/>
      <c r="K1783" s="56"/>
    </row>
    <row r="1784" spans="1:11" ht="12.75">
      <c r="A1784" s="57">
        <v>5</v>
      </c>
      <c r="B1784" s="56" t="s">
        <v>336</v>
      </c>
      <c r="C1784" s="57" t="s">
        <v>338</v>
      </c>
      <c r="D1784" s="56"/>
      <c r="E1784" s="56"/>
      <c r="F1784" s="56"/>
      <c r="G1784" s="56"/>
      <c r="H1784" s="56"/>
      <c r="I1784" s="56"/>
      <c r="J1784" s="56"/>
      <c r="K1784" s="56"/>
    </row>
    <row r="1785" spans="1:11" ht="12.75">
      <c r="A1785" s="56"/>
      <c r="B1785" s="56" t="s">
        <v>332</v>
      </c>
      <c r="C1785" s="57"/>
      <c r="D1785" s="56"/>
      <c r="E1785" s="56"/>
      <c r="F1785" s="56"/>
      <c r="G1785" s="56"/>
      <c r="H1785" s="56"/>
      <c r="I1785" s="56"/>
      <c r="J1785" s="56"/>
      <c r="K1785" s="56"/>
    </row>
    <row r="1786" spans="1:11" ht="12.75">
      <c r="A1786" s="56"/>
      <c r="B1786" s="56"/>
      <c r="C1786" s="56"/>
      <c r="D1786" s="56"/>
      <c r="E1786" s="56"/>
      <c r="F1786" s="56"/>
      <c r="G1786" s="56"/>
      <c r="H1786" s="56"/>
      <c r="I1786" s="56"/>
      <c r="J1786" s="56"/>
      <c r="K1786" s="56"/>
    </row>
    <row r="1787" spans="1:11" ht="12.75">
      <c r="A1787" s="54"/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</row>
    <row r="1788" spans="1:11" ht="12.75">
      <c r="A1788" s="54"/>
      <c r="B1788" s="54" t="s">
        <v>339</v>
      </c>
      <c r="C1788" s="54"/>
      <c r="D1788" s="54"/>
      <c r="E1788" s="54"/>
      <c r="F1788" s="54"/>
      <c r="G1788" s="54"/>
      <c r="H1788" s="54"/>
      <c r="I1788" s="54"/>
      <c r="J1788" s="54" t="s">
        <v>247</v>
      </c>
      <c r="K1788" s="54"/>
    </row>
    <row r="1806" spans="1:11" ht="12.75">
      <c r="A1806" s="54"/>
      <c r="B1806" s="54" t="s">
        <v>315</v>
      </c>
      <c r="C1806" s="54"/>
      <c r="D1806" s="54"/>
      <c r="E1806" s="54"/>
      <c r="F1806" s="54"/>
      <c r="G1806" s="54"/>
      <c r="H1806" s="54" t="s">
        <v>316</v>
      </c>
      <c r="I1806" s="54"/>
      <c r="J1806" s="54"/>
      <c r="K1806" s="54"/>
    </row>
    <row r="1807" spans="1:11" ht="12.75">
      <c r="A1807" s="54"/>
      <c r="B1807" s="54"/>
      <c r="C1807" s="54"/>
      <c r="D1807" s="54" t="s">
        <v>329</v>
      </c>
      <c r="E1807" s="54"/>
      <c r="F1807" s="54"/>
      <c r="G1807" s="54"/>
      <c r="H1807" s="54"/>
      <c r="I1807" s="54"/>
      <c r="J1807" s="54"/>
      <c r="K1807" s="54"/>
    </row>
    <row r="1808" spans="1:11" ht="12.75">
      <c r="A1808" s="54"/>
      <c r="B1808" s="54"/>
      <c r="C1808" s="54"/>
      <c r="D1808" s="54"/>
      <c r="E1808" s="54"/>
      <c r="F1808" s="54"/>
      <c r="G1808" s="54"/>
      <c r="H1808" s="54"/>
      <c r="I1808" s="54"/>
      <c r="J1808" s="58" t="s">
        <v>341</v>
      </c>
      <c r="K1808" s="58"/>
    </row>
    <row r="1809" spans="1:11" ht="12.75">
      <c r="A1809" s="209" t="s">
        <v>0</v>
      </c>
      <c r="B1809" s="209" t="s">
        <v>317</v>
      </c>
      <c r="C1809" s="209" t="s">
        <v>318</v>
      </c>
      <c r="D1809" s="209" t="s">
        <v>319</v>
      </c>
      <c r="E1809" s="212" t="s">
        <v>320</v>
      </c>
      <c r="F1809" s="213"/>
      <c r="G1809" s="213"/>
      <c r="H1809" s="213"/>
      <c r="I1809" s="214"/>
      <c r="J1809" s="209" t="s">
        <v>326</v>
      </c>
      <c r="K1809" s="209" t="s">
        <v>327</v>
      </c>
    </row>
    <row r="1810" spans="1:11" ht="12.75">
      <c r="A1810" s="210"/>
      <c r="B1810" s="210"/>
      <c r="C1810" s="210"/>
      <c r="D1810" s="210"/>
      <c r="E1810" s="212" t="s">
        <v>321</v>
      </c>
      <c r="F1810" s="214"/>
      <c r="G1810" s="212" t="s">
        <v>322</v>
      </c>
      <c r="H1810" s="214"/>
      <c r="I1810" s="209" t="s">
        <v>325</v>
      </c>
      <c r="J1810" s="210"/>
      <c r="K1810" s="210"/>
    </row>
    <row r="1811" spans="1:11" ht="56.25">
      <c r="A1811" s="211"/>
      <c r="B1811" s="211"/>
      <c r="C1811" s="211"/>
      <c r="D1811" s="211"/>
      <c r="E1811" s="55" t="s">
        <v>328</v>
      </c>
      <c r="F1811" s="55" t="s">
        <v>328</v>
      </c>
      <c r="G1811" s="55" t="s">
        <v>323</v>
      </c>
      <c r="H1811" s="55" t="s">
        <v>324</v>
      </c>
      <c r="I1811" s="211"/>
      <c r="J1811" s="211"/>
      <c r="K1811" s="211"/>
    </row>
    <row r="1812" spans="1:11" ht="12.75">
      <c r="A1812" s="53">
        <v>1</v>
      </c>
      <c r="B1812" s="53">
        <v>2</v>
      </c>
      <c r="C1812" s="53">
        <v>3</v>
      </c>
      <c r="D1812" s="53">
        <v>4</v>
      </c>
      <c r="E1812" s="53">
        <v>5</v>
      </c>
      <c r="F1812" s="53">
        <v>6</v>
      </c>
      <c r="G1812" s="53">
        <v>7</v>
      </c>
      <c r="H1812" s="53">
        <v>8</v>
      </c>
      <c r="I1812" s="53">
        <v>9</v>
      </c>
      <c r="J1812" s="53">
        <v>10</v>
      </c>
      <c r="K1812" s="53">
        <v>11</v>
      </c>
    </row>
    <row r="1813" spans="1:11" ht="12.75">
      <c r="A1813" s="56"/>
      <c r="B1813" s="56"/>
      <c r="C1813" s="56"/>
      <c r="D1813" s="56"/>
      <c r="E1813" s="56"/>
      <c r="F1813" s="56"/>
      <c r="G1813" s="56"/>
      <c r="H1813" s="56"/>
      <c r="I1813" s="56"/>
      <c r="J1813" s="56"/>
      <c r="K1813" s="56"/>
    </row>
    <row r="1814" spans="1:11" ht="12.75">
      <c r="A1814" s="57">
        <v>1</v>
      </c>
      <c r="B1814" s="56" t="s">
        <v>330</v>
      </c>
      <c r="C1814" s="57" t="s">
        <v>331</v>
      </c>
      <c r="D1814" s="56"/>
      <c r="E1814" s="56"/>
      <c r="F1814" s="56"/>
      <c r="G1814" s="56"/>
      <c r="H1814" s="56"/>
      <c r="I1814" s="56"/>
      <c r="J1814" s="56"/>
      <c r="K1814" s="56"/>
    </row>
    <row r="1815" spans="1:11" ht="12.75">
      <c r="A1815" s="57"/>
      <c r="B1815" s="56" t="s">
        <v>332</v>
      </c>
      <c r="C1815" s="57"/>
      <c r="D1815" s="56"/>
      <c r="E1815" s="56"/>
      <c r="F1815" s="56"/>
      <c r="G1815" s="56"/>
      <c r="H1815" s="56"/>
      <c r="I1815" s="56"/>
      <c r="J1815" s="56"/>
      <c r="K1815" s="56"/>
    </row>
    <row r="1816" spans="1:11" ht="12.75">
      <c r="A1816" s="57"/>
      <c r="B1816" s="56"/>
      <c r="C1816" s="54"/>
      <c r="D1816" s="56"/>
      <c r="E1816" s="56"/>
      <c r="F1816" s="56"/>
      <c r="G1816" s="56"/>
      <c r="H1816" s="56"/>
      <c r="I1816" s="56"/>
      <c r="J1816" s="56"/>
      <c r="K1816" s="56"/>
    </row>
    <row r="1817" spans="1:11" ht="12.75">
      <c r="A1817" s="57">
        <v>2</v>
      </c>
      <c r="B1817" s="56" t="s">
        <v>333</v>
      </c>
      <c r="C1817" s="57" t="s">
        <v>331</v>
      </c>
      <c r="D1817" s="56"/>
      <c r="E1817" s="56"/>
      <c r="F1817" s="56"/>
      <c r="G1817" s="56"/>
      <c r="H1817" s="56"/>
      <c r="I1817" s="56"/>
      <c r="J1817" s="56"/>
      <c r="K1817" s="56"/>
    </row>
    <row r="1818" spans="1:11" ht="12.75">
      <c r="A1818" s="57"/>
      <c r="B1818" s="56" t="s">
        <v>332</v>
      </c>
      <c r="C1818" s="57"/>
      <c r="D1818" s="56"/>
      <c r="E1818" s="56"/>
      <c r="F1818" s="56"/>
      <c r="G1818" s="56"/>
      <c r="H1818" s="56"/>
      <c r="I1818" s="56"/>
      <c r="J1818" s="56"/>
      <c r="K1818" s="56"/>
    </row>
    <row r="1819" spans="1:11" ht="12.75">
      <c r="A1819" s="57"/>
      <c r="B1819" s="56"/>
      <c r="C1819" s="57"/>
      <c r="D1819" s="56"/>
      <c r="E1819" s="56"/>
      <c r="F1819" s="56"/>
      <c r="G1819" s="56"/>
      <c r="H1819" s="56"/>
      <c r="I1819" s="56"/>
      <c r="J1819" s="56"/>
      <c r="K1819" s="56"/>
    </row>
    <row r="1820" spans="1:11" ht="12.75">
      <c r="A1820" s="57">
        <v>3</v>
      </c>
      <c r="B1820" s="56" t="s">
        <v>334</v>
      </c>
      <c r="C1820" s="57" t="s">
        <v>331</v>
      </c>
      <c r="D1820" s="56"/>
      <c r="E1820" s="56"/>
      <c r="F1820" s="56"/>
      <c r="G1820" s="56"/>
      <c r="H1820" s="56"/>
      <c r="I1820" s="56"/>
      <c r="J1820" s="56"/>
      <c r="K1820" s="56"/>
    </row>
    <row r="1821" spans="1:11" ht="12.75">
      <c r="A1821" s="57"/>
      <c r="B1821" s="56" t="s">
        <v>332</v>
      </c>
      <c r="C1821" s="57"/>
      <c r="D1821" s="56"/>
      <c r="E1821" s="56"/>
      <c r="F1821" s="56"/>
      <c r="G1821" s="56"/>
      <c r="H1821" s="56"/>
      <c r="I1821" s="56"/>
      <c r="J1821" s="56"/>
      <c r="K1821" s="56"/>
    </row>
    <row r="1822" spans="1:11" ht="12.75">
      <c r="A1822" s="57"/>
      <c r="B1822" s="56"/>
      <c r="C1822" s="57"/>
      <c r="D1822" s="56"/>
      <c r="E1822" s="56"/>
      <c r="F1822" s="56"/>
      <c r="G1822" s="56"/>
      <c r="H1822" s="56"/>
      <c r="I1822" s="56"/>
      <c r="J1822" s="56"/>
      <c r="K1822" s="56"/>
    </row>
    <row r="1823" spans="1:11" ht="12.75">
      <c r="A1823" s="57">
        <v>4</v>
      </c>
      <c r="B1823" s="56" t="s">
        <v>335</v>
      </c>
      <c r="C1823" s="57" t="s">
        <v>337</v>
      </c>
      <c r="D1823" s="56"/>
      <c r="E1823" s="56"/>
      <c r="F1823" s="56"/>
      <c r="G1823" s="56"/>
      <c r="H1823" s="56"/>
      <c r="I1823" s="56"/>
      <c r="J1823" s="56"/>
      <c r="K1823" s="56"/>
    </row>
    <row r="1824" spans="1:11" ht="12.75">
      <c r="A1824" s="57"/>
      <c r="B1824" s="56" t="s">
        <v>332</v>
      </c>
      <c r="C1824" s="57"/>
      <c r="D1824" s="56"/>
      <c r="E1824" s="56"/>
      <c r="F1824" s="56"/>
      <c r="G1824" s="56"/>
      <c r="H1824" s="56"/>
      <c r="I1824" s="56"/>
      <c r="J1824" s="56"/>
      <c r="K1824" s="56"/>
    </row>
    <row r="1825" spans="1:11" ht="12.75">
      <c r="A1825" s="57"/>
      <c r="B1825" s="56"/>
      <c r="C1825" s="57"/>
      <c r="D1825" s="56"/>
      <c r="E1825" s="56"/>
      <c r="F1825" s="56"/>
      <c r="G1825" s="56"/>
      <c r="H1825" s="56"/>
      <c r="I1825" s="56"/>
      <c r="J1825" s="56"/>
      <c r="K1825" s="56"/>
    </row>
    <row r="1826" spans="1:11" ht="12.75">
      <c r="A1826" s="57">
        <v>5</v>
      </c>
      <c r="B1826" s="56" t="s">
        <v>336</v>
      </c>
      <c r="C1826" s="57" t="s">
        <v>338</v>
      </c>
      <c r="D1826" s="56"/>
      <c r="E1826" s="56"/>
      <c r="F1826" s="56"/>
      <c r="G1826" s="56"/>
      <c r="H1826" s="56"/>
      <c r="I1826" s="56"/>
      <c r="J1826" s="56"/>
      <c r="K1826" s="56"/>
    </row>
    <row r="1827" spans="1:11" ht="12.75">
      <c r="A1827" s="56"/>
      <c r="B1827" s="56" t="s">
        <v>332</v>
      </c>
      <c r="C1827" s="57"/>
      <c r="D1827" s="56"/>
      <c r="E1827" s="56"/>
      <c r="F1827" s="56"/>
      <c r="G1827" s="56"/>
      <c r="H1827" s="56"/>
      <c r="I1827" s="56"/>
      <c r="J1827" s="56"/>
      <c r="K1827" s="56"/>
    </row>
    <row r="1828" spans="1:11" ht="12.75">
      <c r="A1828" s="56"/>
      <c r="B1828" s="56"/>
      <c r="C1828" s="56"/>
      <c r="D1828" s="56"/>
      <c r="E1828" s="56"/>
      <c r="F1828" s="56"/>
      <c r="G1828" s="56"/>
      <c r="H1828" s="56"/>
      <c r="I1828" s="56"/>
      <c r="J1828" s="56"/>
      <c r="K1828" s="56"/>
    </row>
    <row r="1829" spans="1:11" ht="12.75">
      <c r="A1829" s="54"/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</row>
    <row r="1830" spans="1:11" ht="12.75">
      <c r="A1830" s="54"/>
      <c r="B1830" s="54" t="s">
        <v>339</v>
      </c>
      <c r="C1830" s="54"/>
      <c r="D1830" s="54"/>
      <c r="E1830" s="54"/>
      <c r="F1830" s="54"/>
      <c r="G1830" s="54"/>
      <c r="H1830" s="54"/>
      <c r="I1830" s="54"/>
      <c r="J1830" s="54" t="s">
        <v>247</v>
      </c>
      <c r="K1830" s="54"/>
    </row>
    <row r="1848" spans="1:11" ht="12.75">
      <c r="A1848" s="54"/>
      <c r="B1848" s="54" t="s">
        <v>315</v>
      </c>
      <c r="C1848" s="54"/>
      <c r="D1848" s="54"/>
      <c r="E1848" s="54"/>
      <c r="F1848" s="54"/>
      <c r="G1848" s="54"/>
      <c r="H1848" s="54" t="s">
        <v>316</v>
      </c>
      <c r="I1848" s="54"/>
      <c r="J1848" s="54"/>
      <c r="K1848" s="54"/>
    </row>
    <row r="1849" spans="1:11" ht="12.75">
      <c r="A1849" s="54"/>
      <c r="B1849" s="54"/>
      <c r="C1849" s="54"/>
      <c r="D1849" s="54" t="s">
        <v>329</v>
      </c>
      <c r="E1849" s="54"/>
      <c r="F1849" s="54"/>
      <c r="G1849" s="54"/>
      <c r="H1849" s="54"/>
      <c r="I1849" s="54"/>
      <c r="J1849" s="54"/>
      <c r="K1849" s="54"/>
    </row>
    <row r="1850" spans="1:11" ht="12.75">
      <c r="A1850" s="54"/>
      <c r="B1850" s="54"/>
      <c r="C1850" s="54"/>
      <c r="D1850" s="54"/>
      <c r="E1850" s="54"/>
      <c r="F1850" s="54"/>
      <c r="G1850" s="54"/>
      <c r="H1850" s="54"/>
      <c r="I1850" s="54"/>
      <c r="J1850" s="58" t="s">
        <v>341</v>
      </c>
      <c r="K1850" s="58"/>
    </row>
    <row r="1851" spans="1:11" ht="12.75">
      <c r="A1851" s="209" t="s">
        <v>0</v>
      </c>
      <c r="B1851" s="209" t="s">
        <v>317</v>
      </c>
      <c r="C1851" s="209" t="s">
        <v>318</v>
      </c>
      <c r="D1851" s="209" t="s">
        <v>319</v>
      </c>
      <c r="E1851" s="212" t="s">
        <v>320</v>
      </c>
      <c r="F1851" s="213"/>
      <c r="G1851" s="213"/>
      <c r="H1851" s="213"/>
      <c r="I1851" s="214"/>
      <c r="J1851" s="209" t="s">
        <v>326</v>
      </c>
      <c r="K1851" s="209" t="s">
        <v>327</v>
      </c>
    </row>
    <row r="1852" spans="1:11" ht="12.75">
      <c r="A1852" s="210"/>
      <c r="B1852" s="210"/>
      <c r="C1852" s="210"/>
      <c r="D1852" s="210"/>
      <c r="E1852" s="212" t="s">
        <v>321</v>
      </c>
      <c r="F1852" s="214"/>
      <c r="G1852" s="212" t="s">
        <v>322</v>
      </c>
      <c r="H1852" s="214"/>
      <c r="I1852" s="209" t="s">
        <v>325</v>
      </c>
      <c r="J1852" s="210"/>
      <c r="K1852" s="210"/>
    </row>
    <row r="1853" spans="1:11" ht="56.25">
      <c r="A1853" s="211"/>
      <c r="B1853" s="211"/>
      <c r="C1853" s="211"/>
      <c r="D1853" s="211"/>
      <c r="E1853" s="55" t="s">
        <v>328</v>
      </c>
      <c r="F1853" s="55" t="s">
        <v>328</v>
      </c>
      <c r="G1853" s="55" t="s">
        <v>323</v>
      </c>
      <c r="H1853" s="55" t="s">
        <v>324</v>
      </c>
      <c r="I1853" s="211"/>
      <c r="J1853" s="211"/>
      <c r="K1853" s="211"/>
    </row>
    <row r="1854" spans="1:11" ht="12.75">
      <c r="A1854" s="53">
        <v>1</v>
      </c>
      <c r="B1854" s="53">
        <v>2</v>
      </c>
      <c r="C1854" s="53">
        <v>3</v>
      </c>
      <c r="D1854" s="53">
        <v>4</v>
      </c>
      <c r="E1854" s="53">
        <v>5</v>
      </c>
      <c r="F1854" s="53">
        <v>6</v>
      </c>
      <c r="G1854" s="53">
        <v>7</v>
      </c>
      <c r="H1854" s="53">
        <v>8</v>
      </c>
      <c r="I1854" s="53">
        <v>9</v>
      </c>
      <c r="J1854" s="53">
        <v>10</v>
      </c>
      <c r="K1854" s="53">
        <v>11</v>
      </c>
    </row>
    <row r="1855" spans="1:11" ht="12.75">
      <c r="A1855" s="56"/>
      <c r="B1855" s="56"/>
      <c r="C1855" s="56"/>
      <c r="D1855" s="56"/>
      <c r="E1855" s="56"/>
      <c r="F1855" s="56"/>
      <c r="G1855" s="56"/>
      <c r="H1855" s="56"/>
      <c r="I1855" s="56"/>
      <c r="J1855" s="56"/>
      <c r="K1855" s="56"/>
    </row>
    <row r="1856" spans="1:11" ht="12.75">
      <c r="A1856" s="57">
        <v>1</v>
      </c>
      <c r="B1856" s="56" t="s">
        <v>330</v>
      </c>
      <c r="C1856" s="57" t="s">
        <v>331</v>
      </c>
      <c r="D1856" s="56"/>
      <c r="E1856" s="56"/>
      <c r="F1856" s="56"/>
      <c r="G1856" s="56"/>
      <c r="H1856" s="56"/>
      <c r="I1856" s="56"/>
      <c r="J1856" s="56"/>
      <c r="K1856" s="56"/>
    </row>
    <row r="1857" spans="1:11" ht="12.75">
      <c r="A1857" s="57"/>
      <c r="B1857" s="56" t="s">
        <v>332</v>
      </c>
      <c r="C1857" s="57"/>
      <c r="D1857" s="56"/>
      <c r="E1857" s="56"/>
      <c r="F1857" s="56"/>
      <c r="G1857" s="56"/>
      <c r="H1857" s="56"/>
      <c r="I1857" s="56"/>
      <c r="J1857" s="56"/>
      <c r="K1857" s="56"/>
    </row>
    <row r="1858" spans="1:11" ht="12.75">
      <c r="A1858" s="57"/>
      <c r="B1858" s="56"/>
      <c r="C1858" s="54"/>
      <c r="D1858" s="56"/>
      <c r="E1858" s="56"/>
      <c r="F1858" s="56"/>
      <c r="G1858" s="56"/>
      <c r="H1858" s="56"/>
      <c r="I1858" s="56"/>
      <c r="J1858" s="56"/>
      <c r="K1858" s="56"/>
    </row>
    <row r="1859" spans="1:11" ht="12.75">
      <c r="A1859" s="57">
        <v>2</v>
      </c>
      <c r="B1859" s="56" t="s">
        <v>333</v>
      </c>
      <c r="C1859" s="57" t="s">
        <v>331</v>
      </c>
      <c r="D1859" s="56"/>
      <c r="E1859" s="56"/>
      <c r="F1859" s="56"/>
      <c r="G1859" s="56"/>
      <c r="H1859" s="56"/>
      <c r="I1859" s="56"/>
      <c r="J1859" s="56"/>
      <c r="K1859" s="56"/>
    </row>
    <row r="1860" spans="1:11" ht="12.75">
      <c r="A1860" s="57"/>
      <c r="B1860" s="56" t="s">
        <v>332</v>
      </c>
      <c r="C1860" s="57"/>
      <c r="D1860" s="56"/>
      <c r="E1860" s="56"/>
      <c r="F1860" s="56"/>
      <c r="G1860" s="56"/>
      <c r="H1860" s="56"/>
      <c r="I1860" s="56"/>
      <c r="J1860" s="56"/>
      <c r="K1860" s="56"/>
    </row>
    <row r="1861" spans="1:11" ht="12.75">
      <c r="A1861" s="57"/>
      <c r="B1861" s="56"/>
      <c r="C1861" s="57"/>
      <c r="D1861" s="56"/>
      <c r="E1861" s="56"/>
      <c r="F1861" s="56"/>
      <c r="G1861" s="56"/>
      <c r="H1861" s="56"/>
      <c r="I1861" s="56"/>
      <c r="J1861" s="56"/>
      <c r="K1861" s="56"/>
    </row>
    <row r="1862" spans="1:11" ht="12.75">
      <c r="A1862" s="57">
        <v>3</v>
      </c>
      <c r="B1862" s="56" t="s">
        <v>334</v>
      </c>
      <c r="C1862" s="57" t="s">
        <v>331</v>
      </c>
      <c r="D1862" s="56"/>
      <c r="E1862" s="56"/>
      <c r="F1862" s="56"/>
      <c r="G1862" s="56"/>
      <c r="H1862" s="56"/>
      <c r="I1862" s="56"/>
      <c r="J1862" s="56"/>
      <c r="K1862" s="56"/>
    </row>
    <row r="1863" spans="1:11" ht="12.75">
      <c r="A1863" s="57"/>
      <c r="B1863" s="56" t="s">
        <v>332</v>
      </c>
      <c r="C1863" s="57"/>
      <c r="D1863" s="56"/>
      <c r="E1863" s="56"/>
      <c r="F1863" s="56"/>
      <c r="G1863" s="56"/>
      <c r="H1863" s="56"/>
      <c r="I1863" s="56"/>
      <c r="J1863" s="56"/>
      <c r="K1863" s="56"/>
    </row>
    <row r="1864" spans="1:11" ht="12.75">
      <c r="A1864" s="57"/>
      <c r="B1864" s="56"/>
      <c r="C1864" s="57"/>
      <c r="D1864" s="56"/>
      <c r="E1864" s="56"/>
      <c r="F1864" s="56"/>
      <c r="G1864" s="56"/>
      <c r="H1864" s="56"/>
      <c r="I1864" s="56"/>
      <c r="J1864" s="56"/>
      <c r="K1864" s="56"/>
    </row>
    <row r="1865" spans="1:11" ht="12.75">
      <c r="A1865" s="57">
        <v>4</v>
      </c>
      <c r="B1865" s="56" t="s">
        <v>335</v>
      </c>
      <c r="C1865" s="57" t="s">
        <v>337</v>
      </c>
      <c r="D1865" s="56"/>
      <c r="E1865" s="56"/>
      <c r="F1865" s="56"/>
      <c r="G1865" s="56"/>
      <c r="H1865" s="56"/>
      <c r="I1865" s="56"/>
      <c r="J1865" s="56"/>
      <c r="K1865" s="56"/>
    </row>
    <row r="1866" spans="1:11" ht="12.75">
      <c r="A1866" s="57"/>
      <c r="B1866" s="56" t="s">
        <v>332</v>
      </c>
      <c r="C1866" s="57"/>
      <c r="D1866" s="56"/>
      <c r="E1866" s="56"/>
      <c r="F1866" s="56"/>
      <c r="G1866" s="56"/>
      <c r="H1866" s="56"/>
      <c r="I1866" s="56"/>
      <c r="J1866" s="56"/>
      <c r="K1866" s="56"/>
    </row>
    <row r="1867" spans="1:11" ht="12.75">
      <c r="A1867" s="57"/>
      <c r="B1867" s="56"/>
      <c r="C1867" s="57"/>
      <c r="D1867" s="56"/>
      <c r="E1867" s="56"/>
      <c r="F1867" s="56"/>
      <c r="G1867" s="56"/>
      <c r="H1867" s="56"/>
      <c r="I1867" s="56"/>
      <c r="J1867" s="56"/>
      <c r="K1867" s="56"/>
    </row>
    <row r="1868" spans="1:11" ht="12.75">
      <c r="A1868" s="57">
        <v>5</v>
      </c>
      <c r="B1868" s="56" t="s">
        <v>336</v>
      </c>
      <c r="C1868" s="57" t="s">
        <v>338</v>
      </c>
      <c r="D1868" s="56"/>
      <c r="E1868" s="56"/>
      <c r="F1868" s="56"/>
      <c r="G1868" s="56"/>
      <c r="H1868" s="56"/>
      <c r="I1868" s="56"/>
      <c r="J1868" s="56"/>
      <c r="K1868" s="56"/>
    </row>
    <row r="1869" spans="1:11" ht="12.75">
      <c r="A1869" s="56"/>
      <c r="B1869" s="56" t="s">
        <v>332</v>
      </c>
      <c r="C1869" s="57"/>
      <c r="D1869" s="56"/>
      <c r="E1869" s="56"/>
      <c r="F1869" s="56"/>
      <c r="G1869" s="56"/>
      <c r="H1869" s="56"/>
      <c r="I1869" s="56"/>
      <c r="J1869" s="56"/>
      <c r="K1869" s="56"/>
    </row>
    <row r="1870" spans="1:11" ht="12.75">
      <c r="A1870" s="56"/>
      <c r="B1870" s="56"/>
      <c r="C1870" s="56"/>
      <c r="D1870" s="56"/>
      <c r="E1870" s="56"/>
      <c r="F1870" s="56"/>
      <c r="G1870" s="56"/>
      <c r="H1870" s="56"/>
      <c r="I1870" s="56"/>
      <c r="J1870" s="56"/>
      <c r="K1870" s="56"/>
    </row>
    <row r="1871" spans="1:11" ht="12.75">
      <c r="A1871" s="54"/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</row>
    <row r="1872" spans="1:11" ht="12.75">
      <c r="A1872" s="54"/>
      <c r="B1872" s="54" t="s">
        <v>339</v>
      </c>
      <c r="C1872" s="54"/>
      <c r="D1872" s="54"/>
      <c r="E1872" s="54"/>
      <c r="F1872" s="54"/>
      <c r="G1872" s="54"/>
      <c r="H1872" s="54"/>
      <c r="I1872" s="54"/>
      <c r="J1872" s="54" t="s">
        <v>247</v>
      </c>
      <c r="K1872" s="54"/>
    </row>
  </sheetData>
  <mergeCells count="450">
    <mergeCell ref="E1851:I1851"/>
    <mergeCell ref="J1851:J1853"/>
    <mergeCell ref="K1851:K1853"/>
    <mergeCell ref="E1852:F1852"/>
    <mergeCell ref="G1852:H1852"/>
    <mergeCell ref="I1852:I1853"/>
    <mergeCell ref="A1851:A1853"/>
    <mergeCell ref="B1851:B1853"/>
    <mergeCell ref="C1851:C1853"/>
    <mergeCell ref="D1851:D1853"/>
    <mergeCell ref="E1809:I1809"/>
    <mergeCell ref="J1809:J1811"/>
    <mergeCell ref="K1809:K1811"/>
    <mergeCell ref="E1810:F1810"/>
    <mergeCell ref="G1810:H1810"/>
    <mergeCell ref="I1810:I1811"/>
    <mergeCell ref="A1809:A1811"/>
    <mergeCell ref="B1809:B1811"/>
    <mergeCell ref="C1809:C1811"/>
    <mergeCell ref="D1809:D1811"/>
    <mergeCell ref="E1767:I1767"/>
    <mergeCell ref="J1767:J1769"/>
    <mergeCell ref="K1767:K1769"/>
    <mergeCell ref="E1768:F1768"/>
    <mergeCell ref="G1768:H1768"/>
    <mergeCell ref="I1768:I1769"/>
    <mergeCell ref="A1767:A1769"/>
    <mergeCell ref="B1767:B1769"/>
    <mergeCell ref="C1767:C1769"/>
    <mergeCell ref="D1767:D1769"/>
    <mergeCell ref="E1725:I1725"/>
    <mergeCell ref="J1725:J1727"/>
    <mergeCell ref="K1725:K1727"/>
    <mergeCell ref="E1726:F1726"/>
    <mergeCell ref="G1726:H1726"/>
    <mergeCell ref="I1726:I1727"/>
    <mergeCell ref="A1725:A1727"/>
    <mergeCell ref="B1725:B1727"/>
    <mergeCell ref="C1725:C1727"/>
    <mergeCell ref="D1725:D1727"/>
    <mergeCell ref="E1683:I1683"/>
    <mergeCell ref="J1683:J1685"/>
    <mergeCell ref="K1683:K1685"/>
    <mergeCell ref="E1684:F1684"/>
    <mergeCell ref="G1684:H1684"/>
    <mergeCell ref="I1684:I1685"/>
    <mergeCell ref="A1683:A1685"/>
    <mergeCell ref="B1683:B1685"/>
    <mergeCell ref="C1683:C1685"/>
    <mergeCell ref="D1683:D1685"/>
    <mergeCell ref="E1641:I1641"/>
    <mergeCell ref="J1641:J1643"/>
    <mergeCell ref="K1641:K1643"/>
    <mergeCell ref="E1642:F1642"/>
    <mergeCell ref="G1642:H1642"/>
    <mergeCell ref="I1642:I1643"/>
    <mergeCell ref="A1641:A1643"/>
    <mergeCell ref="B1641:B1643"/>
    <mergeCell ref="C1641:C1643"/>
    <mergeCell ref="D1641:D1643"/>
    <mergeCell ref="E1599:I1599"/>
    <mergeCell ref="J1599:J1601"/>
    <mergeCell ref="K1599:K1601"/>
    <mergeCell ref="E1600:F1600"/>
    <mergeCell ref="G1600:H1600"/>
    <mergeCell ref="I1600:I1601"/>
    <mergeCell ref="A1599:A1601"/>
    <mergeCell ref="B1599:B1601"/>
    <mergeCell ref="C1599:C1601"/>
    <mergeCell ref="D1599:D1601"/>
    <mergeCell ref="E1557:I1557"/>
    <mergeCell ref="J1557:J1559"/>
    <mergeCell ref="K1557:K1559"/>
    <mergeCell ref="E1558:F1558"/>
    <mergeCell ref="G1558:H1558"/>
    <mergeCell ref="I1558:I1559"/>
    <mergeCell ref="A1557:A1559"/>
    <mergeCell ref="B1557:B1559"/>
    <mergeCell ref="C1557:C1559"/>
    <mergeCell ref="D1557:D1559"/>
    <mergeCell ref="E1515:I1515"/>
    <mergeCell ref="J1515:J1517"/>
    <mergeCell ref="K1515:K1517"/>
    <mergeCell ref="E1516:F1516"/>
    <mergeCell ref="G1516:H1516"/>
    <mergeCell ref="I1516:I1517"/>
    <mergeCell ref="A1515:A1517"/>
    <mergeCell ref="B1515:B1517"/>
    <mergeCell ref="C1515:C1517"/>
    <mergeCell ref="D1515:D1517"/>
    <mergeCell ref="E1473:I1473"/>
    <mergeCell ref="J1473:J1475"/>
    <mergeCell ref="K1473:K1475"/>
    <mergeCell ref="E1474:F1474"/>
    <mergeCell ref="G1474:H1474"/>
    <mergeCell ref="I1474:I1475"/>
    <mergeCell ref="A1473:A1475"/>
    <mergeCell ref="B1473:B1475"/>
    <mergeCell ref="C1473:C1475"/>
    <mergeCell ref="D1473:D1475"/>
    <mergeCell ref="E1431:I1431"/>
    <mergeCell ref="J1431:J1433"/>
    <mergeCell ref="K1431:K1433"/>
    <mergeCell ref="E1432:F1432"/>
    <mergeCell ref="G1432:H1432"/>
    <mergeCell ref="I1432:I1433"/>
    <mergeCell ref="A1431:A1433"/>
    <mergeCell ref="B1431:B1433"/>
    <mergeCell ref="C1431:C1433"/>
    <mergeCell ref="D1431:D1433"/>
    <mergeCell ref="E1389:I1389"/>
    <mergeCell ref="J1389:J1391"/>
    <mergeCell ref="K1389:K1391"/>
    <mergeCell ref="E1390:F1390"/>
    <mergeCell ref="G1390:H1390"/>
    <mergeCell ref="I1390:I1391"/>
    <mergeCell ref="A1389:A1391"/>
    <mergeCell ref="B1389:B1391"/>
    <mergeCell ref="C1389:C1391"/>
    <mergeCell ref="D1389:D1391"/>
    <mergeCell ref="E1347:I1347"/>
    <mergeCell ref="J1347:J1349"/>
    <mergeCell ref="K1347:K1349"/>
    <mergeCell ref="E1348:F1348"/>
    <mergeCell ref="G1348:H1348"/>
    <mergeCell ref="I1348:I1349"/>
    <mergeCell ref="A1347:A1349"/>
    <mergeCell ref="B1347:B1349"/>
    <mergeCell ref="C1347:C1349"/>
    <mergeCell ref="D1347:D1349"/>
    <mergeCell ref="E1305:I1305"/>
    <mergeCell ref="J1305:J1307"/>
    <mergeCell ref="K1305:K1307"/>
    <mergeCell ref="E1306:F1306"/>
    <mergeCell ref="G1306:H1306"/>
    <mergeCell ref="I1306:I1307"/>
    <mergeCell ref="A1305:A1307"/>
    <mergeCell ref="B1305:B1307"/>
    <mergeCell ref="C1305:C1307"/>
    <mergeCell ref="D1305:D1307"/>
    <mergeCell ref="E1263:I1263"/>
    <mergeCell ref="J1263:J1265"/>
    <mergeCell ref="K1263:K1265"/>
    <mergeCell ref="E1264:F1264"/>
    <mergeCell ref="G1264:H1264"/>
    <mergeCell ref="I1264:I1265"/>
    <mergeCell ref="A1263:A1265"/>
    <mergeCell ref="B1263:B1265"/>
    <mergeCell ref="C1263:C1265"/>
    <mergeCell ref="D1263:D1265"/>
    <mergeCell ref="E1221:I1221"/>
    <mergeCell ref="J1221:J1223"/>
    <mergeCell ref="K1221:K1223"/>
    <mergeCell ref="E1222:F1222"/>
    <mergeCell ref="G1222:H1222"/>
    <mergeCell ref="I1222:I1223"/>
    <mergeCell ref="A1221:A1223"/>
    <mergeCell ref="B1221:B1223"/>
    <mergeCell ref="C1221:C1223"/>
    <mergeCell ref="D1221:D1223"/>
    <mergeCell ref="E1179:I1179"/>
    <mergeCell ref="J1179:J1181"/>
    <mergeCell ref="K1179:K1181"/>
    <mergeCell ref="E1180:F1180"/>
    <mergeCell ref="G1180:H1180"/>
    <mergeCell ref="I1180:I1181"/>
    <mergeCell ref="A1179:A1181"/>
    <mergeCell ref="B1179:B1181"/>
    <mergeCell ref="C1179:C1181"/>
    <mergeCell ref="D1179:D1181"/>
    <mergeCell ref="E1137:I1137"/>
    <mergeCell ref="J1137:J1139"/>
    <mergeCell ref="K1137:K1139"/>
    <mergeCell ref="E1138:F1138"/>
    <mergeCell ref="G1138:H1138"/>
    <mergeCell ref="I1138:I1139"/>
    <mergeCell ref="A1137:A1139"/>
    <mergeCell ref="B1137:B1139"/>
    <mergeCell ref="C1137:C1139"/>
    <mergeCell ref="D1137:D1139"/>
    <mergeCell ref="E1095:I1095"/>
    <mergeCell ref="J1095:J1097"/>
    <mergeCell ref="K1095:K1097"/>
    <mergeCell ref="E1096:F1096"/>
    <mergeCell ref="G1096:H1096"/>
    <mergeCell ref="I1096:I1097"/>
    <mergeCell ref="A1095:A1097"/>
    <mergeCell ref="B1095:B1097"/>
    <mergeCell ref="C1095:C1097"/>
    <mergeCell ref="D1095:D1097"/>
    <mergeCell ref="E1053:I1053"/>
    <mergeCell ref="J1053:J1055"/>
    <mergeCell ref="K1053:K1055"/>
    <mergeCell ref="E1054:F1054"/>
    <mergeCell ref="G1054:H1054"/>
    <mergeCell ref="I1054:I1055"/>
    <mergeCell ref="A1053:A1055"/>
    <mergeCell ref="B1053:B1055"/>
    <mergeCell ref="C1053:C1055"/>
    <mergeCell ref="D1053:D1055"/>
    <mergeCell ref="E1011:I1011"/>
    <mergeCell ref="J1011:J1013"/>
    <mergeCell ref="K1011:K1013"/>
    <mergeCell ref="E1012:F1012"/>
    <mergeCell ref="G1012:H1012"/>
    <mergeCell ref="I1012:I1013"/>
    <mergeCell ref="A1011:A1013"/>
    <mergeCell ref="B1011:B1013"/>
    <mergeCell ref="C1011:C1013"/>
    <mergeCell ref="D1011:D1013"/>
    <mergeCell ref="E969:I969"/>
    <mergeCell ref="J969:J971"/>
    <mergeCell ref="K969:K971"/>
    <mergeCell ref="E970:F970"/>
    <mergeCell ref="G970:H970"/>
    <mergeCell ref="I970:I971"/>
    <mergeCell ref="A969:A971"/>
    <mergeCell ref="B969:B971"/>
    <mergeCell ref="C969:C971"/>
    <mergeCell ref="D969:D971"/>
    <mergeCell ref="E927:I927"/>
    <mergeCell ref="J927:J929"/>
    <mergeCell ref="K927:K929"/>
    <mergeCell ref="E928:F928"/>
    <mergeCell ref="G928:H928"/>
    <mergeCell ref="I928:I929"/>
    <mergeCell ref="A927:A929"/>
    <mergeCell ref="B927:B929"/>
    <mergeCell ref="C927:C929"/>
    <mergeCell ref="D927:D929"/>
    <mergeCell ref="E885:I885"/>
    <mergeCell ref="J885:J887"/>
    <mergeCell ref="K885:K887"/>
    <mergeCell ref="E886:F886"/>
    <mergeCell ref="G886:H886"/>
    <mergeCell ref="I886:I887"/>
    <mergeCell ref="A885:A887"/>
    <mergeCell ref="B885:B887"/>
    <mergeCell ref="C885:C887"/>
    <mergeCell ref="D885:D887"/>
    <mergeCell ref="E843:I843"/>
    <mergeCell ref="J843:J845"/>
    <mergeCell ref="K843:K845"/>
    <mergeCell ref="E844:F844"/>
    <mergeCell ref="G844:H844"/>
    <mergeCell ref="I844:I845"/>
    <mergeCell ref="A843:A845"/>
    <mergeCell ref="B843:B845"/>
    <mergeCell ref="C843:C845"/>
    <mergeCell ref="D843:D845"/>
    <mergeCell ref="E801:I801"/>
    <mergeCell ref="J801:J803"/>
    <mergeCell ref="K801:K803"/>
    <mergeCell ref="E802:F802"/>
    <mergeCell ref="G802:H802"/>
    <mergeCell ref="I802:I803"/>
    <mergeCell ref="A801:A803"/>
    <mergeCell ref="B801:B803"/>
    <mergeCell ref="C801:C803"/>
    <mergeCell ref="D801:D803"/>
    <mergeCell ref="E759:I759"/>
    <mergeCell ref="J759:J761"/>
    <mergeCell ref="K759:K761"/>
    <mergeCell ref="E760:F760"/>
    <mergeCell ref="G760:H760"/>
    <mergeCell ref="I760:I761"/>
    <mergeCell ref="A759:A761"/>
    <mergeCell ref="B759:B761"/>
    <mergeCell ref="C759:C761"/>
    <mergeCell ref="D759:D761"/>
    <mergeCell ref="E717:I717"/>
    <mergeCell ref="J717:J719"/>
    <mergeCell ref="K717:K719"/>
    <mergeCell ref="E718:F718"/>
    <mergeCell ref="G718:H718"/>
    <mergeCell ref="I718:I719"/>
    <mergeCell ref="A717:A719"/>
    <mergeCell ref="B717:B719"/>
    <mergeCell ref="C717:C719"/>
    <mergeCell ref="D717:D719"/>
    <mergeCell ref="E675:I675"/>
    <mergeCell ref="J675:J677"/>
    <mergeCell ref="K675:K677"/>
    <mergeCell ref="E676:F676"/>
    <mergeCell ref="G676:H676"/>
    <mergeCell ref="I676:I677"/>
    <mergeCell ref="A675:A677"/>
    <mergeCell ref="B675:B677"/>
    <mergeCell ref="C675:C677"/>
    <mergeCell ref="D675:D677"/>
    <mergeCell ref="E633:I633"/>
    <mergeCell ref="J633:J635"/>
    <mergeCell ref="K633:K635"/>
    <mergeCell ref="E634:F634"/>
    <mergeCell ref="G634:H634"/>
    <mergeCell ref="I634:I635"/>
    <mergeCell ref="A633:A635"/>
    <mergeCell ref="B633:B635"/>
    <mergeCell ref="C633:C635"/>
    <mergeCell ref="D633:D635"/>
    <mergeCell ref="E591:I591"/>
    <mergeCell ref="J591:J593"/>
    <mergeCell ref="K591:K593"/>
    <mergeCell ref="E592:F592"/>
    <mergeCell ref="G592:H592"/>
    <mergeCell ref="I592:I593"/>
    <mergeCell ref="A591:A593"/>
    <mergeCell ref="B591:B593"/>
    <mergeCell ref="C591:C593"/>
    <mergeCell ref="D591:D593"/>
    <mergeCell ref="E549:I549"/>
    <mergeCell ref="J549:J551"/>
    <mergeCell ref="K549:K551"/>
    <mergeCell ref="E550:F550"/>
    <mergeCell ref="G550:H550"/>
    <mergeCell ref="I550:I551"/>
    <mergeCell ref="A549:A551"/>
    <mergeCell ref="B549:B551"/>
    <mergeCell ref="C549:C551"/>
    <mergeCell ref="D549:D551"/>
    <mergeCell ref="E507:I507"/>
    <mergeCell ref="J507:J509"/>
    <mergeCell ref="K507:K509"/>
    <mergeCell ref="E508:F508"/>
    <mergeCell ref="G508:H508"/>
    <mergeCell ref="I508:I509"/>
    <mergeCell ref="A507:A509"/>
    <mergeCell ref="B507:B509"/>
    <mergeCell ref="C507:C509"/>
    <mergeCell ref="D507:D509"/>
    <mergeCell ref="E465:I465"/>
    <mergeCell ref="J465:J467"/>
    <mergeCell ref="K465:K467"/>
    <mergeCell ref="E466:F466"/>
    <mergeCell ref="G466:H466"/>
    <mergeCell ref="I466:I467"/>
    <mergeCell ref="A465:A467"/>
    <mergeCell ref="B465:B467"/>
    <mergeCell ref="C465:C467"/>
    <mergeCell ref="D465:D467"/>
    <mergeCell ref="E423:I423"/>
    <mergeCell ref="J423:J425"/>
    <mergeCell ref="K423:K425"/>
    <mergeCell ref="E424:F424"/>
    <mergeCell ref="G424:H424"/>
    <mergeCell ref="I424:I425"/>
    <mergeCell ref="A423:A425"/>
    <mergeCell ref="B423:B425"/>
    <mergeCell ref="C423:C425"/>
    <mergeCell ref="D423:D425"/>
    <mergeCell ref="E381:I381"/>
    <mergeCell ref="J381:J383"/>
    <mergeCell ref="K381:K383"/>
    <mergeCell ref="E382:F382"/>
    <mergeCell ref="G382:H382"/>
    <mergeCell ref="I382:I383"/>
    <mergeCell ref="A381:A383"/>
    <mergeCell ref="B381:B383"/>
    <mergeCell ref="C381:C383"/>
    <mergeCell ref="D381:D383"/>
    <mergeCell ref="E339:I339"/>
    <mergeCell ref="J339:J341"/>
    <mergeCell ref="K339:K341"/>
    <mergeCell ref="E340:F340"/>
    <mergeCell ref="G340:H340"/>
    <mergeCell ref="I340:I341"/>
    <mergeCell ref="A339:A341"/>
    <mergeCell ref="B339:B341"/>
    <mergeCell ref="C339:C341"/>
    <mergeCell ref="D339:D341"/>
    <mergeCell ref="E297:I297"/>
    <mergeCell ref="J297:J299"/>
    <mergeCell ref="K297:K299"/>
    <mergeCell ref="E298:F298"/>
    <mergeCell ref="G298:H298"/>
    <mergeCell ref="I298:I299"/>
    <mergeCell ref="A297:A299"/>
    <mergeCell ref="B297:B299"/>
    <mergeCell ref="C297:C299"/>
    <mergeCell ref="D297:D299"/>
    <mergeCell ref="E255:I255"/>
    <mergeCell ref="J255:J257"/>
    <mergeCell ref="K255:K257"/>
    <mergeCell ref="E256:F256"/>
    <mergeCell ref="G256:H256"/>
    <mergeCell ref="I256:I257"/>
    <mergeCell ref="A255:A257"/>
    <mergeCell ref="B255:B257"/>
    <mergeCell ref="C255:C257"/>
    <mergeCell ref="D255:D257"/>
    <mergeCell ref="E213:I213"/>
    <mergeCell ref="J213:J215"/>
    <mergeCell ref="K213:K215"/>
    <mergeCell ref="E214:F214"/>
    <mergeCell ref="G214:H214"/>
    <mergeCell ref="I214:I215"/>
    <mergeCell ref="A213:A215"/>
    <mergeCell ref="B213:B215"/>
    <mergeCell ref="C213:C215"/>
    <mergeCell ref="D213:D215"/>
    <mergeCell ref="E171:I171"/>
    <mergeCell ref="J171:J173"/>
    <mergeCell ref="K171:K173"/>
    <mergeCell ref="E172:F172"/>
    <mergeCell ref="G172:H172"/>
    <mergeCell ref="I172:I173"/>
    <mergeCell ref="A171:A173"/>
    <mergeCell ref="B171:B173"/>
    <mergeCell ref="C171:C173"/>
    <mergeCell ref="D171:D173"/>
    <mergeCell ref="E129:I129"/>
    <mergeCell ref="J129:J131"/>
    <mergeCell ref="K129:K131"/>
    <mergeCell ref="E130:F130"/>
    <mergeCell ref="G130:H130"/>
    <mergeCell ref="I130:I131"/>
    <mergeCell ref="A129:A131"/>
    <mergeCell ref="B129:B131"/>
    <mergeCell ref="C129:C131"/>
    <mergeCell ref="D129:D131"/>
    <mergeCell ref="E86:I86"/>
    <mergeCell ref="J86:J88"/>
    <mergeCell ref="K86:K88"/>
    <mergeCell ref="E87:F87"/>
    <mergeCell ref="G87:H87"/>
    <mergeCell ref="I87:I88"/>
    <mergeCell ref="A86:A88"/>
    <mergeCell ref="B86:B88"/>
    <mergeCell ref="C86:C88"/>
    <mergeCell ref="D86:D88"/>
    <mergeCell ref="E44:I44"/>
    <mergeCell ref="J44:J46"/>
    <mergeCell ref="K44:K46"/>
    <mergeCell ref="E45:F45"/>
    <mergeCell ref="G45:H45"/>
    <mergeCell ref="I45:I46"/>
    <mergeCell ref="A44:A46"/>
    <mergeCell ref="B44:B46"/>
    <mergeCell ref="C44:C46"/>
    <mergeCell ref="D44:D46"/>
    <mergeCell ref="B4:B6"/>
    <mergeCell ref="A4:A6"/>
    <mergeCell ref="J4:J6"/>
    <mergeCell ref="K4:K6"/>
    <mergeCell ref="D4:D6"/>
    <mergeCell ref="C4:C6"/>
    <mergeCell ref="E4:I4"/>
    <mergeCell ref="E5:F5"/>
    <mergeCell ref="G5:H5"/>
    <mergeCell ref="I5:I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Zentralnye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User</cp:lastModifiedBy>
  <cp:lastPrinted>2013-03-27T14:39:02Z</cp:lastPrinted>
  <dcterms:created xsi:type="dcterms:W3CDTF">2011-08-11T04:59:24Z</dcterms:created>
  <dcterms:modified xsi:type="dcterms:W3CDTF">2013-03-27T15:59:07Z</dcterms:modified>
  <cp:category/>
  <cp:version/>
  <cp:contentType/>
  <cp:contentStatus/>
</cp:coreProperties>
</file>