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<sst xmlns="http://schemas.openxmlformats.org/spreadsheetml/2006/main" count="3376" uniqueCount="445">
  <si>
    <t>Показатели</t>
  </si>
  <si>
    <t>Количество этажей</t>
  </si>
  <si>
    <t>Количество подъездов</t>
  </si>
  <si>
    <t>Количество  квартир</t>
  </si>
  <si>
    <t>Общая площадь МКД</t>
  </si>
  <si>
    <t>Характеристика МКД</t>
  </si>
  <si>
    <t>Собрано средств на оплату предоставленных услуг по управлению, содержанию и ремонту общего имущества МКД</t>
  </si>
  <si>
    <t>Оплата собственниками МКД услуг по управлению, содержанию и ремонту общего имущества МКД</t>
  </si>
  <si>
    <t>Доход от сдачи в аренду помещений, входящих в состав общего имущества</t>
  </si>
  <si>
    <t>Доход от сдачи в аренду рекламных мест</t>
  </si>
  <si>
    <t>Всего</t>
  </si>
  <si>
    <t>Услуги по управлению многоквартирным домом, всего</t>
  </si>
  <si>
    <t>Услуги по санитарному содержанию общего имущества, в том числе:</t>
  </si>
  <si>
    <t>Расходы на содержание мест общего пользования</t>
  </si>
  <si>
    <t>в том числе на заработную плату с начислениями</t>
  </si>
  <si>
    <t>Услуги по обслуживанию и текущему ремонту общего имущества МКД, в том числе:</t>
  </si>
  <si>
    <t>Другие расходы</t>
  </si>
  <si>
    <t xml:space="preserve"> Заработная плата с начислениями</t>
  </si>
  <si>
    <t>Расходы по обезвреживанию КГМ (утилизация)</t>
  </si>
  <si>
    <t>из низ дворнику с отчислениями ЕСН</t>
  </si>
  <si>
    <t>Баланс</t>
  </si>
  <si>
    <t xml:space="preserve">                                   Отчет</t>
  </si>
  <si>
    <t>Сумма, руб.</t>
  </si>
  <si>
    <t>Обработка подвала дезсредствами</t>
  </si>
  <si>
    <t>Исполнительный  директор ООО "Центральный"                                                        У.М. Сангаджиев</t>
  </si>
  <si>
    <t>Главный  экономист                                                                                                  Н.В. Хазыкова</t>
  </si>
  <si>
    <t>Ремонт системы  холодного водоснабжения</t>
  </si>
  <si>
    <t>Побелка бордюр и деревьев</t>
  </si>
  <si>
    <t>Ремонт системы  горячего водоснабжения</t>
  </si>
  <si>
    <t>НАЛОГИ (УСН)</t>
  </si>
  <si>
    <t>Окраска малых форм</t>
  </si>
  <si>
    <t xml:space="preserve">управляющей организации ООО "Центральный" по многоквартирному дому по содержанию </t>
  </si>
  <si>
    <t>Приложение № 1</t>
  </si>
  <si>
    <t>Промывка и опрессовка системы отопления</t>
  </si>
  <si>
    <t>Ремонт мягкой кровли</t>
  </si>
  <si>
    <t>Главный бухгалтер                                                                                                     Л.Э. Босхомджиева</t>
  </si>
  <si>
    <t>Выкос сорных (карантийных) трав</t>
  </si>
  <si>
    <t>и ремонту общего имущества МКД за  2013 год</t>
  </si>
  <si>
    <t>План на 2013 год</t>
  </si>
  <si>
    <t xml:space="preserve">Выполнено с начало года </t>
  </si>
  <si>
    <t>Объем</t>
  </si>
  <si>
    <t>и ремонту общего имущества МКД за   2013 год</t>
  </si>
  <si>
    <t>ПРОЧИЕ расходы</t>
  </si>
  <si>
    <t>Диспетчерское обслуживание пассажирских лифтов</t>
  </si>
  <si>
    <t>34 м3</t>
  </si>
  <si>
    <t>1161 м2</t>
  </si>
  <si>
    <t>536 м2</t>
  </si>
  <si>
    <t>2 лифт</t>
  </si>
  <si>
    <t>1,332 ст.</t>
  </si>
  <si>
    <t>0,795 ст.</t>
  </si>
  <si>
    <t xml:space="preserve">Приобретение инвентаря и спецодежды </t>
  </si>
  <si>
    <t xml:space="preserve">Техобслуживание внутридомового газового оборудования </t>
  </si>
  <si>
    <t>Аварийные работы по восстановлению общего имущества МКД</t>
  </si>
  <si>
    <t>Вывоз крупногабаритного мусора</t>
  </si>
  <si>
    <t>Моющие средства</t>
  </si>
  <si>
    <t>Инвентарь и спецодежда</t>
  </si>
  <si>
    <t xml:space="preserve">Молоко работникам с вредными условиями труда </t>
  </si>
  <si>
    <t>Проверка и прчистка вентканалов и дымоходов</t>
  </si>
  <si>
    <t>Расходы на акарацидные работы</t>
  </si>
  <si>
    <t>3706 м2</t>
  </si>
  <si>
    <t>Ремонт отмостков (частично)</t>
  </si>
  <si>
    <t>200 м2</t>
  </si>
  <si>
    <t>Ремонт подъезда (косметический)</t>
  </si>
  <si>
    <t>Ремонт дверных откосов</t>
  </si>
  <si>
    <t>6,8  м2</t>
  </si>
  <si>
    <t>Ремонт крыльца (местами)</t>
  </si>
  <si>
    <t xml:space="preserve">Ремонт штукатурки цоколя </t>
  </si>
  <si>
    <t>Ремонт системы центрального отопления</t>
  </si>
  <si>
    <t xml:space="preserve">Ремонт системы электроснабжения, электротехническим устройствам  </t>
  </si>
  <si>
    <t>Ремонт системы центрального водоотведения (канализации)</t>
  </si>
  <si>
    <t>54 кв</t>
  </si>
  <si>
    <t>89 м</t>
  </si>
  <si>
    <t>20 м</t>
  </si>
  <si>
    <t>30 м</t>
  </si>
  <si>
    <t>15 м</t>
  </si>
  <si>
    <t>Работы по техобслуживанию, текремонту и содержанию лифтового оборудования</t>
  </si>
  <si>
    <t>Всего расходов по управлению и санитарному содержанию общего имущества МКД</t>
  </si>
  <si>
    <t>0,176 ст.</t>
  </si>
  <si>
    <t>0,531 ст.</t>
  </si>
  <si>
    <t>1 под.</t>
  </si>
  <si>
    <t>Смена стекол в деревяных переплетах окон</t>
  </si>
  <si>
    <t>Отчет</t>
  </si>
  <si>
    <t>Предоставлено  услуг по управлению, содержанию и ремонту общего имущества  МКД</t>
  </si>
  <si>
    <t xml:space="preserve">Общая  стоимость предоставленных  услуг  по управлению, содержанию и ремонту общего имущества МКД </t>
  </si>
  <si>
    <t xml:space="preserve">Цена  предоставленных  услуг  по управлению, содержанию и ремонту общего имущества МКД в расчете на 1 кв.м.. площади собственников (стр. стр. 19 / 12 мес.) </t>
  </si>
  <si>
    <t>Общая площадь МКД, кв.м.</t>
  </si>
  <si>
    <t>Адрес дома: Ул. Ленина, д. 347 а</t>
  </si>
  <si>
    <t>Адрес дома: Ул. Л.Чайкиной, д 16</t>
  </si>
  <si>
    <t>Проверка и прочистка вентканалов и дымоходов</t>
  </si>
  <si>
    <t>Замена замка</t>
  </si>
  <si>
    <t>Мытье лестничных клеток хлорной известью</t>
  </si>
  <si>
    <t>Ремонт штукатурки цоколя , схода в подвал</t>
  </si>
  <si>
    <t>Ремонт межпанельных швов кв. 50</t>
  </si>
  <si>
    <t>Страхование лифтов, периодическое технич. освидетельствование лифтов</t>
  </si>
  <si>
    <t>Установка светильников с датчиками на движение под. № 1</t>
  </si>
  <si>
    <r>
      <t xml:space="preserve">Адрес дома: </t>
    </r>
    <r>
      <rPr>
        <b/>
        <sz val="8"/>
        <rFont val="Arial Cyr"/>
        <family val="0"/>
      </rPr>
      <t>2 микрорайон, д.12</t>
    </r>
  </si>
  <si>
    <t>В т.ч. за 1 квартал</t>
  </si>
  <si>
    <t>В т.ч. за 2 квартал</t>
  </si>
  <si>
    <t>В т.ч. за 3 квартал</t>
  </si>
  <si>
    <t>В т.ч. за 4 квартал</t>
  </si>
  <si>
    <r>
      <t xml:space="preserve">Адрес дома: </t>
    </r>
    <r>
      <rPr>
        <b/>
        <sz val="8"/>
        <rFont val="Arial Cyr"/>
        <family val="0"/>
      </rPr>
      <t>2 микрорайон, д.13</t>
    </r>
  </si>
  <si>
    <r>
      <t xml:space="preserve">Адрес дома: </t>
    </r>
    <r>
      <rPr>
        <b/>
        <sz val="8"/>
        <rFont val="Arial Cyr"/>
        <family val="0"/>
      </rPr>
      <t>2 микрорайон, д.13 б</t>
    </r>
  </si>
  <si>
    <r>
      <t xml:space="preserve">Адрес дома: </t>
    </r>
    <r>
      <rPr>
        <b/>
        <sz val="8"/>
        <rFont val="Arial Cyr"/>
        <family val="0"/>
      </rPr>
      <t>2 микрорайон, д.14</t>
    </r>
  </si>
  <si>
    <r>
      <t xml:space="preserve">Адрес дома: </t>
    </r>
    <r>
      <rPr>
        <b/>
        <sz val="8"/>
        <rFont val="Arial Cyr"/>
        <family val="0"/>
      </rPr>
      <t>2 микрорайон, д.15</t>
    </r>
  </si>
  <si>
    <r>
      <t xml:space="preserve">Адрес дома: </t>
    </r>
    <r>
      <rPr>
        <b/>
        <sz val="8"/>
        <rFont val="Arial Cyr"/>
        <family val="0"/>
      </rPr>
      <t>2 микрорайон, д.17</t>
    </r>
  </si>
  <si>
    <r>
      <t xml:space="preserve">Адрес дома: </t>
    </r>
    <r>
      <rPr>
        <b/>
        <sz val="8"/>
        <rFont val="Arial Cyr"/>
        <family val="0"/>
      </rPr>
      <t>2 микрорайон, д.18</t>
    </r>
  </si>
  <si>
    <r>
      <t xml:space="preserve">Адрес дома: </t>
    </r>
    <r>
      <rPr>
        <b/>
        <sz val="8"/>
        <rFont val="Arial Cyr"/>
        <family val="0"/>
      </rPr>
      <t>2 микрорайон, д.20</t>
    </r>
  </si>
  <si>
    <r>
      <t xml:space="preserve">Адрес дома: </t>
    </r>
    <r>
      <rPr>
        <b/>
        <sz val="8"/>
        <rFont val="Arial Cyr"/>
        <family val="0"/>
      </rPr>
      <t>2 микрорайон, д. 21</t>
    </r>
  </si>
  <si>
    <r>
      <t xml:space="preserve">Адрес дома: </t>
    </r>
    <r>
      <rPr>
        <b/>
        <sz val="8"/>
        <rFont val="Arial Cyr"/>
        <family val="0"/>
      </rPr>
      <t>2 микрорайон, д.22</t>
    </r>
  </si>
  <si>
    <r>
      <t xml:space="preserve">Адрес дома: </t>
    </r>
    <r>
      <rPr>
        <b/>
        <sz val="8"/>
        <rFont val="Arial Cyr"/>
        <family val="0"/>
      </rPr>
      <t xml:space="preserve">2 микрорайон, д. 23 </t>
    </r>
  </si>
  <si>
    <r>
      <t xml:space="preserve">Адрес дома: </t>
    </r>
    <r>
      <rPr>
        <b/>
        <sz val="8"/>
        <rFont val="Arial Cyr"/>
        <family val="0"/>
      </rPr>
      <t>2 микрорайон, д. 23 а</t>
    </r>
  </si>
  <si>
    <r>
      <t xml:space="preserve">Адрес дома: </t>
    </r>
    <r>
      <rPr>
        <b/>
        <sz val="8"/>
        <rFont val="Arial Cyr"/>
        <family val="0"/>
      </rPr>
      <t>2 микрорайон, д.24</t>
    </r>
  </si>
  <si>
    <r>
      <t xml:space="preserve">Адрес дома: </t>
    </r>
    <r>
      <rPr>
        <b/>
        <sz val="8"/>
        <rFont val="Arial Cyr"/>
        <family val="0"/>
      </rPr>
      <t>2 микрорайон, д.25</t>
    </r>
  </si>
  <si>
    <r>
      <t xml:space="preserve">Адрес дома: </t>
    </r>
    <r>
      <rPr>
        <b/>
        <sz val="8"/>
        <rFont val="Arial Cyr"/>
        <family val="0"/>
      </rPr>
      <t>2 микрорайон, д.25 а</t>
    </r>
  </si>
  <si>
    <r>
      <t xml:space="preserve">Адрес дома: </t>
    </r>
    <r>
      <rPr>
        <b/>
        <sz val="8"/>
        <rFont val="Arial Cyr"/>
        <family val="0"/>
      </rPr>
      <t>2 микрорайон, д.26</t>
    </r>
  </si>
  <si>
    <r>
      <t xml:space="preserve">Адрес дома: </t>
    </r>
    <r>
      <rPr>
        <b/>
        <sz val="8"/>
        <rFont val="Arial Cyr"/>
        <family val="0"/>
      </rPr>
      <t>2 микрорайон, д.28</t>
    </r>
  </si>
  <si>
    <r>
      <t xml:space="preserve">Адрес дома: </t>
    </r>
    <r>
      <rPr>
        <b/>
        <sz val="8"/>
        <rFont val="Arial Cyr"/>
        <family val="0"/>
      </rPr>
      <t>2 микрорайон, д.29</t>
    </r>
  </si>
  <si>
    <r>
      <t xml:space="preserve">Адрес дома: </t>
    </r>
    <r>
      <rPr>
        <b/>
        <sz val="8"/>
        <rFont val="Arial Cyr"/>
        <family val="0"/>
      </rPr>
      <t>2 микрорайон, д.30</t>
    </r>
  </si>
  <si>
    <r>
      <t xml:space="preserve">Адрес дома: </t>
    </r>
    <r>
      <rPr>
        <b/>
        <sz val="8"/>
        <rFont val="Arial Cyr"/>
        <family val="0"/>
      </rPr>
      <t>2 микрорайон, д. 31</t>
    </r>
  </si>
  <si>
    <r>
      <t xml:space="preserve">Адрес дома: </t>
    </r>
    <r>
      <rPr>
        <b/>
        <sz val="8"/>
        <rFont val="Arial Cyr"/>
        <family val="0"/>
      </rPr>
      <t>2 микрорайон, д.32</t>
    </r>
  </si>
  <si>
    <r>
      <t xml:space="preserve">Адрес дома: </t>
    </r>
    <r>
      <rPr>
        <b/>
        <sz val="8"/>
        <rFont val="Arial Cyr"/>
        <family val="0"/>
      </rPr>
      <t>2 микрорайон, д.33</t>
    </r>
  </si>
  <si>
    <r>
      <t xml:space="preserve">Адрес дома: </t>
    </r>
    <r>
      <rPr>
        <b/>
        <sz val="8"/>
        <rFont val="Arial Cyr"/>
        <family val="0"/>
      </rPr>
      <t>2 микрорайон, д.34</t>
    </r>
  </si>
  <si>
    <r>
      <t xml:space="preserve">Адрес дома: </t>
    </r>
    <r>
      <rPr>
        <b/>
        <sz val="8"/>
        <rFont val="Arial Cyr"/>
        <family val="0"/>
      </rPr>
      <t>2 микрорайон, д.35</t>
    </r>
  </si>
  <si>
    <r>
      <t xml:space="preserve">Адрес дома: </t>
    </r>
    <r>
      <rPr>
        <b/>
        <sz val="8"/>
        <rFont val="Arial Cyr"/>
        <family val="0"/>
      </rPr>
      <t>2 микрорайон, д. 36</t>
    </r>
  </si>
  <si>
    <r>
      <t xml:space="preserve">Адрес дома: </t>
    </r>
    <r>
      <rPr>
        <b/>
        <sz val="8"/>
        <rFont val="Arial Cyr"/>
        <family val="0"/>
      </rPr>
      <t>2 микрорайон, д. 37</t>
    </r>
  </si>
  <si>
    <r>
      <t xml:space="preserve">Адрес дома: </t>
    </r>
    <r>
      <rPr>
        <b/>
        <sz val="8"/>
        <rFont val="Arial Cyr"/>
        <family val="0"/>
      </rPr>
      <t>2 микрорайон, д.38</t>
    </r>
  </si>
  <si>
    <r>
      <t xml:space="preserve">Адрес дома: </t>
    </r>
    <r>
      <rPr>
        <b/>
        <sz val="8"/>
        <rFont val="Arial Cyr"/>
        <family val="0"/>
      </rPr>
      <t>2 микрорайон, д.39</t>
    </r>
  </si>
  <si>
    <r>
      <t>Адрес дома: Клыкова</t>
    </r>
    <r>
      <rPr>
        <b/>
        <sz val="8"/>
        <rFont val="Arial Cyr"/>
        <family val="0"/>
      </rPr>
      <t>, д.128</t>
    </r>
  </si>
  <si>
    <r>
      <t>Адрес дома: Клыкова</t>
    </r>
    <r>
      <rPr>
        <b/>
        <sz val="8"/>
        <rFont val="Arial Cyr"/>
        <family val="0"/>
      </rPr>
      <t>, д.130</t>
    </r>
  </si>
  <si>
    <r>
      <t>Адрес дома: Клыкова</t>
    </r>
    <r>
      <rPr>
        <b/>
        <sz val="8"/>
        <rFont val="Arial Cyr"/>
        <family val="0"/>
      </rPr>
      <t>, д.132</t>
    </r>
  </si>
  <si>
    <r>
      <t>Адрес дома: Клыкова</t>
    </r>
    <r>
      <rPr>
        <b/>
        <sz val="8"/>
        <rFont val="Arial Cyr"/>
        <family val="0"/>
      </rPr>
      <t>, д.134</t>
    </r>
  </si>
  <si>
    <r>
      <t>Адрес дома: Клыкова</t>
    </r>
    <r>
      <rPr>
        <b/>
        <sz val="8"/>
        <rFont val="Arial Cyr"/>
        <family val="0"/>
      </rPr>
      <t>, д.136</t>
    </r>
  </si>
  <si>
    <r>
      <t>Адрес дома: Клыкова</t>
    </r>
    <r>
      <rPr>
        <b/>
        <sz val="8"/>
        <rFont val="Arial Cyr"/>
        <family val="0"/>
      </rPr>
      <t>, д.138</t>
    </r>
  </si>
  <si>
    <r>
      <t>Адрес дома: Клыкова</t>
    </r>
    <r>
      <rPr>
        <b/>
        <sz val="8"/>
        <rFont val="Arial Cyr"/>
        <family val="0"/>
      </rPr>
      <t>, д.140</t>
    </r>
  </si>
  <si>
    <r>
      <t>Адрес дома: Клыкова</t>
    </r>
    <r>
      <rPr>
        <b/>
        <sz val="8"/>
        <rFont val="Arial Cyr"/>
        <family val="0"/>
      </rPr>
      <t>, д.142</t>
    </r>
  </si>
  <si>
    <r>
      <t xml:space="preserve">Адрес дома: </t>
    </r>
    <r>
      <rPr>
        <b/>
        <sz val="8"/>
        <rFont val="Arial Cyr"/>
        <family val="0"/>
      </rPr>
      <t>2 микрорайон, д.144</t>
    </r>
  </si>
  <si>
    <t>Обработка подвала и мусоропровода дезсредствами</t>
  </si>
  <si>
    <t xml:space="preserve">Ремонт штукатурки цоколя, и схода в подвал </t>
  </si>
  <si>
    <t>Замена замков</t>
  </si>
  <si>
    <t>Замена замков под 4</t>
  </si>
  <si>
    <t xml:space="preserve">Установка светильников с датчиками на движение </t>
  </si>
  <si>
    <t>Изготовление и установка дверной решетки на подвальных дверях</t>
  </si>
  <si>
    <t xml:space="preserve">Замена замков </t>
  </si>
  <si>
    <t>Замена нижнего розлива холодного водоснабжения (капрем)</t>
  </si>
  <si>
    <t>Замена нижнего розлива горячего водоснабжения (капрем)</t>
  </si>
  <si>
    <t>Ремонт потолков  кв. № 39</t>
  </si>
  <si>
    <t>Освещение в местах общего пользования</t>
  </si>
  <si>
    <t xml:space="preserve">Выдача  инвентаря и спецодежды </t>
  </si>
  <si>
    <t>Обработка подвала  и мытье л/клеток в подъездах дезсредствами</t>
  </si>
  <si>
    <t xml:space="preserve">Ремонт системы электроснабжения, электротехнических устройств  </t>
  </si>
  <si>
    <t>Смена электролампочек в местах общего пользования</t>
  </si>
  <si>
    <t>Устройство светильников с датчиками на движение в местах общего пользования</t>
  </si>
  <si>
    <t>Ремонт межпанельных швов кв. 30</t>
  </si>
  <si>
    <t>Ремонт  квартиры № 40</t>
  </si>
  <si>
    <t>Замена наружных канализационных труб и устройство канализационных колодцев, под. № 2,5</t>
  </si>
  <si>
    <t>Ремонт оконных откосов  под. № 3,4</t>
  </si>
  <si>
    <t>Замена замков на подвальных и чердачных дверях</t>
  </si>
  <si>
    <t>Ремонт схода в подвал</t>
  </si>
  <si>
    <t>Устройство решеток на подвальных окнах</t>
  </si>
  <si>
    <t>Ремонт дверей и  откосов</t>
  </si>
  <si>
    <t xml:space="preserve">электроосвещение в местах общего пользования </t>
  </si>
  <si>
    <t>Электроосвещение в местах общего пользования</t>
  </si>
  <si>
    <t>кв.44</t>
  </si>
  <si>
    <t>Ремонт ливневой канализации</t>
  </si>
  <si>
    <t>50 кв</t>
  </si>
  <si>
    <t>36 кв</t>
  </si>
  <si>
    <t>47 кв</t>
  </si>
  <si>
    <t>Ремонт мягкой кровли кв. 58</t>
  </si>
  <si>
    <t>44 кв</t>
  </si>
  <si>
    <t xml:space="preserve"> 12кв</t>
  </si>
  <si>
    <t>27 кв</t>
  </si>
  <si>
    <t>Установка приборов учета по э/нергии в кв. 25,26,32,36,37</t>
  </si>
  <si>
    <t>Установка прибора учета холодного водоснабжения</t>
  </si>
  <si>
    <t>16 кв</t>
  </si>
  <si>
    <t>4 кв</t>
  </si>
  <si>
    <t>23 кв</t>
  </si>
  <si>
    <t>1,610 ст</t>
  </si>
  <si>
    <t>0,961 ст</t>
  </si>
  <si>
    <t>0,61 ст</t>
  </si>
  <si>
    <t>5,07 м2</t>
  </si>
  <si>
    <t>24,5 м2</t>
  </si>
  <si>
    <t xml:space="preserve">Ремонт межпанельных швов </t>
  </si>
  <si>
    <t>10 м</t>
  </si>
  <si>
    <t>71 м</t>
  </si>
  <si>
    <t>14 м</t>
  </si>
  <si>
    <t>Устройство детской игровой площадки</t>
  </si>
  <si>
    <t>1 ед.</t>
  </si>
  <si>
    <t>4761 м2</t>
  </si>
  <si>
    <t>60м2</t>
  </si>
  <si>
    <t>1,58 м3</t>
  </si>
  <si>
    <t>16414 м3</t>
  </si>
  <si>
    <t>59 кв</t>
  </si>
  <si>
    <t>752,44 м2</t>
  </si>
  <si>
    <t>4223 м2</t>
  </si>
  <si>
    <t>41 м3</t>
  </si>
  <si>
    <t>Главный бухгалтер                                                                                                         Л.Э. Босхомджиева</t>
  </si>
  <si>
    <t>Главный  экономист                                                                                                      Н.В. Хазыкова</t>
  </si>
  <si>
    <t>Замена эл.лампочек в подъездах</t>
  </si>
  <si>
    <t xml:space="preserve">Устройство информационного средства на каждом подъезде </t>
  </si>
  <si>
    <t>Ремонт подъезда (косметический) № 2,3</t>
  </si>
  <si>
    <t>4773м2</t>
  </si>
  <si>
    <t>Замена электролампочек в подъездах дома</t>
  </si>
  <si>
    <t xml:space="preserve">Ремонт стояка холодной и горячей воды в кв. № 57,60 </t>
  </si>
  <si>
    <t>Ремонт труб холодной воды и ливневой канализации</t>
  </si>
  <si>
    <t xml:space="preserve">Запеневание щелей </t>
  </si>
  <si>
    <t>Устройство козырьков  и навеса над входными дверями подъезда № 1,2,3</t>
  </si>
  <si>
    <t>Устройство информационного стенда на подъездах</t>
  </si>
  <si>
    <t xml:space="preserve">Окраска козырьков ,тамбуров, и подъездных дверей </t>
  </si>
  <si>
    <t>1431,5м2</t>
  </si>
  <si>
    <t>300м2</t>
  </si>
  <si>
    <t>675м2</t>
  </si>
  <si>
    <t>Ремонт и Замена колесиков на контейнерах по сбору ТБО в 4-х подъездах</t>
  </si>
  <si>
    <t>715м2</t>
  </si>
  <si>
    <t>3318м2</t>
  </si>
  <si>
    <t xml:space="preserve">Замена и ремонт колесиков на  контейнерах по сбору ТБО в 4-х подъездах </t>
  </si>
  <si>
    <t>480м2</t>
  </si>
  <si>
    <t xml:space="preserve">Замена замков под </t>
  </si>
  <si>
    <t>Ремонт мягкой кровли над кв. № 10,19,60</t>
  </si>
  <si>
    <t>1038м2</t>
  </si>
  <si>
    <t>Ремонт мягкой кровли кв.20, 60</t>
  </si>
  <si>
    <t xml:space="preserve">Замена электросчетчика </t>
  </si>
  <si>
    <t>Ремонт мягкой кровли кв.39, 40, 49, 50</t>
  </si>
  <si>
    <t xml:space="preserve">Ремонт и установка двери схода в подвал </t>
  </si>
  <si>
    <t xml:space="preserve">Устройство перил </t>
  </si>
  <si>
    <t>2018м2</t>
  </si>
  <si>
    <t>182м2</t>
  </si>
  <si>
    <t xml:space="preserve">Ремонт ввода по горячему водоснабжению </t>
  </si>
  <si>
    <t xml:space="preserve">Ремонт ввода по холодному водоснабжению </t>
  </si>
  <si>
    <t>759м2</t>
  </si>
  <si>
    <t>Окраска цоколей и тамбуров подъездов № 1-6</t>
  </si>
  <si>
    <t>500м2</t>
  </si>
  <si>
    <t>Ремонт малых форм</t>
  </si>
  <si>
    <t>Окраска цоколей и тамбуров подъездов № 1-3</t>
  </si>
  <si>
    <t>600м2</t>
  </si>
  <si>
    <t>Ремонт подъезда (косметический) № 2</t>
  </si>
  <si>
    <t>Ремонт мягкой кровли кв. № 19,20,39,40,49,50,59,60,29,30,9,10</t>
  </si>
  <si>
    <t>Окраска плинтусов</t>
  </si>
  <si>
    <t>6 тамб</t>
  </si>
  <si>
    <t>Ремонт  малых форм</t>
  </si>
  <si>
    <t>Расходы на дезинсекцию от блох</t>
  </si>
  <si>
    <t>1350м2</t>
  </si>
  <si>
    <t xml:space="preserve">Установка счетчика по воде </t>
  </si>
  <si>
    <t>Заделка трещин в тамбуре под. № 1</t>
  </si>
  <si>
    <t>120м2</t>
  </si>
  <si>
    <t>Крепление стен тамбура к стене дома подъезда № 1</t>
  </si>
  <si>
    <t>780м2</t>
  </si>
  <si>
    <t>Ремонт стояка  х/ворды вкв. № 60</t>
  </si>
  <si>
    <t>716м2</t>
  </si>
  <si>
    <t>Дезинсекция против блох</t>
  </si>
  <si>
    <t>Подготовка дома к весеннему сезону</t>
  </si>
  <si>
    <t>Окраска газовых труб</t>
  </si>
  <si>
    <t>Ремонт стояка горячей воды кв.18</t>
  </si>
  <si>
    <t>Установка люков на уличных колодцах</t>
  </si>
  <si>
    <t>Устройство стены с дверным проемом под №4</t>
  </si>
  <si>
    <t>Ремонт мягкой кровли кв 39</t>
  </si>
  <si>
    <t>Устройство стены с дверным проемом под №1,2</t>
  </si>
  <si>
    <t xml:space="preserve">Изготовление и установка ограждений </t>
  </si>
  <si>
    <t>640м2</t>
  </si>
  <si>
    <t>800м2</t>
  </si>
  <si>
    <t>Смена окон на стеклопакеты из ПВХ в под № 3</t>
  </si>
  <si>
    <t>32м2</t>
  </si>
  <si>
    <t>1442м2</t>
  </si>
  <si>
    <t>Устройство детских качелей на придомовой территории</t>
  </si>
  <si>
    <t xml:space="preserve">Окраска газовых труб </t>
  </si>
  <si>
    <t>Ремонт (местами) канализационного люка</t>
  </si>
  <si>
    <t>Устройство оголовок</t>
  </si>
  <si>
    <t>Закрепление отливов по периметру кровли</t>
  </si>
  <si>
    <t>Оплата за содержание и ремонт нежилых помещений от индивидуальных предпринимателей</t>
  </si>
  <si>
    <t>560м2</t>
  </si>
  <si>
    <t>Устройство ограждений для мусорных контейнеров</t>
  </si>
  <si>
    <t>Установка счетчика по воде на поливочный кран</t>
  </si>
  <si>
    <t>Устройство металлических отливов на карнизе крыши</t>
  </si>
  <si>
    <t>1602м2</t>
  </si>
  <si>
    <t>Ремонт крыши схода в подвал</t>
  </si>
  <si>
    <t>Замена нижнего розлива холодного водоснабжения</t>
  </si>
  <si>
    <t>Устройство информационного стенда на стене подъездов</t>
  </si>
  <si>
    <t>Ремонт ввода  горячего водопровода</t>
  </si>
  <si>
    <t>Ремонт  (местами) оголовок вентиляционных шахт</t>
  </si>
  <si>
    <t>1050м2</t>
  </si>
  <si>
    <t>880м2</t>
  </si>
  <si>
    <t>200м2</t>
  </si>
  <si>
    <t>Окраска наружных газовых труб</t>
  </si>
  <si>
    <t>1200м2</t>
  </si>
  <si>
    <t>Опломбирование общедомового прибора учета теплоэнергии</t>
  </si>
  <si>
    <t>913м2</t>
  </si>
  <si>
    <t>установка информационного стенда на подъездах № 1,2</t>
  </si>
  <si>
    <t>1574м2</t>
  </si>
  <si>
    <t>2682м2</t>
  </si>
  <si>
    <t>Установка информационного стенда на подъездах № 1,2</t>
  </si>
  <si>
    <t>Установка информационного стенда на подъездах №1</t>
  </si>
  <si>
    <t>Смена электролампочек в подъездах</t>
  </si>
  <si>
    <t>Ревизия инженерных сетей</t>
  </si>
  <si>
    <t>Устройство светильников с датчиками на движение</t>
  </si>
  <si>
    <t>Ремонт мягкой кровли кв.27,52</t>
  </si>
  <si>
    <t>Ремонт подъезда (косметический) № 1</t>
  </si>
  <si>
    <t>1600 м2</t>
  </si>
  <si>
    <t>Ремонт,  устройство, окраска перил (местами) под № 4</t>
  </si>
  <si>
    <t>Ремонт оконных откосов под № 4</t>
  </si>
  <si>
    <t>Ремонт крыши тамбуров в под № 1-6</t>
  </si>
  <si>
    <t>1600м2</t>
  </si>
  <si>
    <t>Энергоснабжение помещений</t>
  </si>
  <si>
    <t>Работы по ремонту схода в подвал</t>
  </si>
  <si>
    <t>Устройство навесов и замков на чердачные люки и короба</t>
  </si>
  <si>
    <t>Побелка цоколей и тамбуров дома</t>
  </si>
  <si>
    <t>100м2</t>
  </si>
  <si>
    <t>Замена нижнего розлива горячего водоснабжения</t>
  </si>
  <si>
    <t>Замена авт. Выкл. На ОДПУ отопления</t>
  </si>
  <si>
    <t>Ремонт системы  горячего водоснабжения (разводки)</t>
  </si>
  <si>
    <t>1320м2</t>
  </si>
  <si>
    <t>Устройство решеток на подвальные окна</t>
  </si>
  <si>
    <t>Замена эл.лампочек в местах общего пользования</t>
  </si>
  <si>
    <t>720м2</t>
  </si>
  <si>
    <t>Изготовление и установка ограждения</t>
  </si>
  <si>
    <t>Установка информационного стенда  под № 1,2</t>
  </si>
  <si>
    <t>Замена электролампочек в местах общего пользования</t>
  </si>
  <si>
    <t>Установка светильников с датчиками на движение в местах общего пользования</t>
  </si>
  <si>
    <t>1369м2</t>
  </si>
  <si>
    <t>Теплоизоляции трубопровода отопления</t>
  </si>
  <si>
    <t>1690м2</t>
  </si>
  <si>
    <t>1087м2</t>
  </si>
  <si>
    <t xml:space="preserve">Ревизия инженерных сетей </t>
  </si>
  <si>
    <t>Ремонт подъезда (косметический) №3</t>
  </si>
  <si>
    <t>1869м2</t>
  </si>
  <si>
    <t>Опломбирование ОДПУ по теплу</t>
  </si>
  <si>
    <t>Установка и опломбирование ОДПУ по теплу</t>
  </si>
  <si>
    <t>1136м2</t>
  </si>
  <si>
    <t>160м2</t>
  </si>
  <si>
    <t>2272м2</t>
  </si>
  <si>
    <t>Гидрофобизация стеновой панели и утепление межпанельных швов кв.48</t>
  </si>
  <si>
    <t xml:space="preserve">Ремонт тамбуров и козырьков </t>
  </si>
  <si>
    <t>Устройство информационного стенда в подъездах</t>
  </si>
  <si>
    <t>Устройство стеклопакетов из ПВХ на 5 этаже</t>
  </si>
  <si>
    <t>Устройство светильников в подъезде</t>
  </si>
  <si>
    <t>Ремонт чердачной двери</t>
  </si>
  <si>
    <t>Ремонт мягкой кровли кв.19,50,49</t>
  </si>
  <si>
    <t>Устройство металлического покрытия на парапетах крыши дома</t>
  </si>
  <si>
    <t>90м2</t>
  </si>
  <si>
    <t>Ремонт мягкой кровли кв. 10,40,50,60,39</t>
  </si>
  <si>
    <t>340м2</t>
  </si>
  <si>
    <t>Устройство информационного стенда</t>
  </si>
  <si>
    <t>Устройство окон их пвх</t>
  </si>
  <si>
    <t>Ремонт канализации и х/водоснабжения кв.53</t>
  </si>
  <si>
    <t>Установка светильников в местах общего пользования</t>
  </si>
  <si>
    <t xml:space="preserve">Ремонт чердачной двери </t>
  </si>
  <si>
    <t>Ремонт оконных откосов 8 шт под. 1,2</t>
  </si>
  <si>
    <t>Гидрофобизация стеновой панели  кв.4</t>
  </si>
  <si>
    <t>Установка окон из ПВХ</t>
  </si>
  <si>
    <t xml:space="preserve">Ремонт ливневой канализации </t>
  </si>
  <si>
    <t>Окраска малых форм и ограждений на придомовой территории</t>
  </si>
  <si>
    <t>Установка входной двери под. № 1,2</t>
  </si>
  <si>
    <t xml:space="preserve">Замена  UPS  на ОДПУ , опломбирование </t>
  </si>
  <si>
    <t>Ремонт мягкой кровли кев. 40</t>
  </si>
  <si>
    <t>Ремонт оконных откосов под 2,3</t>
  </si>
  <si>
    <t>Ремонт тамбура</t>
  </si>
  <si>
    <t>1001м2</t>
  </si>
  <si>
    <t>Ремонт штукатурки стен (частично)</t>
  </si>
  <si>
    <t>Энергоснабжение мест общего пользования</t>
  </si>
  <si>
    <t>Дератизация против грызунов</t>
  </si>
  <si>
    <t>Установка металлических отливов кв.19</t>
  </si>
  <si>
    <t>Ревизия запорной арматуры</t>
  </si>
  <si>
    <t>Ремонт мягкой кровли кв.19,79,80</t>
  </si>
  <si>
    <t>Установка металлических отливов кв.20</t>
  </si>
  <si>
    <t>2997м2</t>
  </si>
  <si>
    <t>Дератизация против грызунов и тараканов</t>
  </si>
  <si>
    <t>1975м2</t>
  </si>
  <si>
    <t>1166м2</t>
  </si>
  <si>
    <t>1034м2</t>
  </si>
  <si>
    <t>913 м2</t>
  </si>
  <si>
    <t>Ремонт мягкой кровли кв. 20</t>
  </si>
  <si>
    <t>Ремонт и окраска цоколя и тамбура дома под. 1,2,3,4, ремонт крыльца</t>
  </si>
  <si>
    <t>1619м2</t>
  </si>
  <si>
    <t>замена замка</t>
  </si>
  <si>
    <t>525м2</t>
  </si>
  <si>
    <t>Ремонт нижнего розлива холодного водоснабжения</t>
  </si>
  <si>
    <t>591 м2</t>
  </si>
  <si>
    <t>Устройство почтовых ящиков для приема показаний за х/воду</t>
  </si>
  <si>
    <t>Ремонт системы центрального отопления (н/розлив и стояки)</t>
  </si>
  <si>
    <t>Ремонт (местами) и окраска цоколя</t>
  </si>
  <si>
    <t xml:space="preserve">Замена задвижки на н/розливе отопительнорй системе </t>
  </si>
  <si>
    <t>Ремонт подъезда (косметический) № 1,2,3,</t>
  </si>
  <si>
    <t>Смена ламп накаливания в местах общего пользования</t>
  </si>
  <si>
    <t>Устройство ограждения на  контейнерной  площадке</t>
  </si>
  <si>
    <t>Устройство почтового ящика для сбора показаний по воде</t>
  </si>
  <si>
    <t>Смена эл.лампочек в местах общего пользования</t>
  </si>
  <si>
    <t>Смена ламп в кабине лифта</t>
  </si>
  <si>
    <t>Оплмбирование ОДПУ теплового счетчика</t>
  </si>
  <si>
    <t xml:space="preserve">Установка груза на перекрытие вент.бетон.труб </t>
  </si>
  <si>
    <t>Смена обоев в кв. № 78</t>
  </si>
  <si>
    <t>Ремонт мягкой кровли кв. № 25,51,79</t>
  </si>
  <si>
    <t>Ремонт подъезда (косметический) под3</t>
  </si>
  <si>
    <t>Замена теплосчетчика</t>
  </si>
  <si>
    <t xml:space="preserve">Ремонт штукатурки и окраска  цоколя </t>
  </si>
  <si>
    <t>Ремонт межпанельных швов</t>
  </si>
  <si>
    <t>Ремонт оконных откосов в под № 3</t>
  </si>
  <si>
    <t>Ремонт мягкой кровли кв. 39,40 ,10,60,59</t>
  </si>
  <si>
    <t>Устройство окон из ПВХ под 3</t>
  </si>
  <si>
    <t>Замена эллампочек в местах общего пользования</t>
  </si>
  <si>
    <t>442м2</t>
  </si>
  <si>
    <t xml:space="preserve">Устройство входной двери под. № 3 </t>
  </si>
  <si>
    <t>Ремонт водосборника (техэтаж)</t>
  </si>
  <si>
    <t>Ремонт и окраска цоколя дома</t>
  </si>
  <si>
    <t>1354м2</t>
  </si>
  <si>
    <t>Дератизация от грызунов</t>
  </si>
  <si>
    <t>Устройство термометра на подачу и обратку воды</t>
  </si>
  <si>
    <t>Периодическая поверка ОДПУ х/воды</t>
  </si>
  <si>
    <t>Опломбирование ОДПУ тепловой энергии</t>
  </si>
  <si>
    <t>Ремонт системы центрального водоотведения (канализации) и кв.39,40</t>
  </si>
  <si>
    <t>Ремонт мягкой кровли кв.39,32,35,36,37,39,40,30,19 и под № 3</t>
  </si>
  <si>
    <t>Ремонт потолков в под № 3</t>
  </si>
  <si>
    <t>Устройство жолоба на козырьком</t>
  </si>
  <si>
    <t>Ремонт  отмостки (местами)</t>
  </si>
  <si>
    <t>Устройство жолоба на козырек</t>
  </si>
  <si>
    <t>Устройство окон в под № 2</t>
  </si>
  <si>
    <t>1999м2</t>
  </si>
  <si>
    <t>Устройство перил под № 3</t>
  </si>
  <si>
    <t>Частичный ремонт бетонной стяжки в кв. 10</t>
  </si>
  <si>
    <t>1856м2</t>
  </si>
  <si>
    <t>211м2</t>
  </si>
  <si>
    <t>Дератизация подвала  от грызунов</t>
  </si>
  <si>
    <t>1566м2</t>
  </si>
  <si>
    <t>1521м2</t>
  </si>
  <si>
    <t xml:space="preserve">Опломбирование ОДПУ по теплу </t>
  </si>
  <si>
    <t>Ремонт мягкой кровли кв. № 19,10,30</t>
  </si>
  <si>
    <t>Ремонт оконных откосов - 3 шт. под № 5</t>
  </si>
  <si>
    <t>Замена труб н/розлива г/воды</t>
  </si>
  <si>
    <t>Замена ввода по отоплению</t>
  </si>
  <si>
    <t>Ремонт подъезда (косметический) №1</t>
  </si>
  <si>
    <t>Ремонт оконных  откосов 3 шт. , устройство окон из ПВХпод № 5</t>
  </si>
  <si>
    <t>Устройство почтового ящика для сбора показаний по ИПУ</t>
  </si>
  <si>
    <t>Замена электрических лампочек в местах общего пользования</t>
  </si>
  <si>
    <t>Дератизация подвала против грызунов</t>
  </si>
  <si>
    <t>Замена АКБ UPS 12V7Ah для теплового счетчика</t>
  </si>
  <si>
    <t>Замена н/розлива х/водоснабжения</t>
  </si>
  <si>
    <t>Ремонт оконных  откосов 4 шт. в под № 2</t>
  </si>
  <si>
    <t>Устройство окон из ПВХ в под № 2,4</t>
  </si>
  <si>
    <t>ТО ОДПУ тепловой энергии</t>
  </si>
  <si>
    <t>Устройство перил в под № 4</t>
  </si>
  <si>
    <t>Устройство почтового ящика для сбора показаний по ИПУ х/воды</t>
  </si>
  <si>
    <t>213м2</t>
  </si>
  <si>
    <t>1037м2</t>
  </si>
  <si>
    <t>Ремонт  (частично) и окраска цоколя дома</t>
  </si>
  <si>
    <t>Ремонт мягкой кровли кв. 58,20</t>
  </si>
  <si>
    <t>Устройство козырька кв.37</t>
  </si>
  <si>
    <t>Ремонт мягкой кровли кв.37</t>
  </si>
  <si>
    <t>Ремонт мягкой кровли кв. № 29,49,50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</si>
</sst>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#,##0&quot;р.&quot;"/>
    <numFmt numFmtId="170" formatCode="0.000"/>
  </numFmts>
  <fonts count="1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sz val="8"/>
      <color indexed="10"/>
      <name val="Arial Cyr"/>
      <family val="0"/>
    </font>
    <font>
      <b/>
      <i/>
      <sz val="8"/>
      <name val="Arial Cyr"/>
      <family val="0"/>
    </font>
    <font>
      <b/>
      <sz val="8"/>
      <color indexed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1" fontId="9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2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1" fontId="1" fillId="0" borderId="5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1" fontId="1" fillId="0" borderId="1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1" fontId="13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2" fillId="0" borderId="3" xfId="0" applyFont="1" applyBorder="1" applyAlignment="1">
      <alignment wrapText="1"/>
    </xf>
    <xf numFmtId="1" fontId="12" fillId="0" borderId="3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/>
    </xf>
    <xf numFmtId="0" fontId="15" fillId="0" borderId="6" xfId="0" applyFont="1" applyBorder="1" applyAlignment="1">
      <alignment/>
    </xf>
    <xf numFmtId="1" fontId="13" fillId="0" borderId="7" xfId="0" applyNumberFormat="1" applyFont="1" applyBorder="1" applyAlignment="1">
      <alignment horizontal="center" wrapText="1"/>
    </xf>
    <xf numFmtId="1" fontId="7" fillId="0" borderId="7" xfId="0" applyNumberFormat="1" applyFont="1" applyBorder="1" applyAlignment="1">
      <alignment horizontal="center"/>
    </xf>
    <xf numFmtId="0" fontId="13" fillId="0" borderId="0" xfId="0" applyFont="1" applyAlignment="1">
      <alignment wrapText="1"/>
    </xf>
    <xf numFmtId="1" fontId="13" fillId="0" borderId="2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/>
    </xf>
    <xf numFmtId="170" fontId="12" fillId="0" borderId="1" xfId="0" applyNumberFormat="1" applyFont="1" applyBorder="1" applyAlignment="1">
      <alignment horizontal="center" wrapText="1"/>
    </xf>
    <xf numFmtId="0" fontId="12" fillId="0" borderId="12" xfId="0" applyFont="1" applyFill="1" applyBorder="1" applyAlignment="1">
      <alignment wrapText="1"/>
    </xf>
    <xf numFmtId="0" fontId="7" fillId="0" borderId="6" xfId="0" applyFont="1" applyBorder="1" applyAlignment="1">
      <alignment/>
    </xf>
    <xf numFmtId="0" fontId="7" fillId="0" borderId="2" xfId="0" applyFont="1" applyBorder="1" applyAlignment="1">
      <alignment/>
    </xf>
    <xf numFmtId="1" fontId="12" fillId="0" borderId="2" xfId="0" applyNumberFormat="1" applyFont="1" applyBorder="1" applyAlignment="1">
      <alignment horizontal="center" wrapText="1"/>
    </xf>
    <xf numFmtId="0" fontId="13" fillId="0" borderId="6" xfId="0" applyFont="1" applyBorder="1" applyAlignment="1">
      <alignment wrapText="1"/>
    </xf>
    <xf numFmtId="1" fontId="1" fillId="0" borderId="7" xfId="0" applyNumberFormat="1" applyFont="1" applyBorder="1" applyAlignment="1">
      <alignment horizontal="center"/>
    </xf>
    <xf numFmtId="0" fontId="12" fillId="0" borderId="6" xfId="0" applyFont="1" applyBorder="1" applyAlignment="1">
      <alignment wrapText="1"/>
    </xf>
    <xf numFmtId="0" fontId="16" fillId="0" borderId="2" xfId="0" applyFont="1" applyBorder="1" applyAlignment="1">
      <alignment horizontal="center" wrapText="1"/>
    </xf>
    <xf numFmtId="1" fontId="7" fillId="0" borderId="2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1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2" fontId="14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1" fontId="12" fillId="0" borderId="7" xfId="0" applyNumberFormat="1" applyFont="1" applyBorder="1" applyAlignment="1">
      <alignment horizontal="center" wrapText="1"/>
    </xf>
    <xf numFmtId="1" fontId="14" fillId="0" borderId="1" xfId="0" applyNumberFormat="1" applyFont="1" applyBorder="1" applyAlignment="1">
      <alignment horizontal="center" wrapText="1"/>
    </xf>
    <xf numFmtId="1" fontId="8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1" fontId="13" fillId="0" borderId="3" xfId="0" applyNumberFormat="1" applyFont="1" applyBorder="1" applyAlignment="1">
      <alignment horizontal="center" wrapText="1"/>
    </xf>
    <xf numFmtId="1" fontId="9" fillId="0" borderId="7" xfId="0" applyNumberFormat="1" applyFont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 wrapText="1"/>
    </xf>
    <xf numFmtId="1" fontId="8" fillId="0" borderId="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" fontId="1" fillId="0" borderId="7" xfId="0" applyNumberFormat="1" applyFont="1" applyBorder="1" applyAlignment="1">
      <alignment/>
    </xf>
    <xf numFmtId="0" fontId="12" fillId="0" borderId="2" xfId="0" applyFont="1" applyBorder="1" applyAlignment="1">
      <alignment wrapText="1"/>
    </xf>
    <xf numFmtId="1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" fontId="14" fillId="0" borderId="2" xfId="0" applyNumberFormat="1" applyFont="1" applyBorder="1" applyAlignment="1">
      <alignment horizontal="center" wrapText="1"/>
    </xf>
    <xf numFmtId="1" fontId="10" fillId="0" borderId="2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7" fillId="0" borderId="7" xfId="0" applyFont="1" applyBorder="1" applyAlignment="1">
      <alignment/>
    </xf>
    <xf numFmtId="0" fontId="14" fillId="0" borderId="6" xfId="0" applyFont="1" applyBorder="1" applyAlignment="1">
      <alignment/>
    </xf>
    <xf numFmtId="0" fontId="17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1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1" xfId="0" applyFont="1" applyBorder="1" applyAlignment="1">
      <alignment/>
    </xf>
    <xf numFmtId="1" fontId="11" fillId="0" borderId="1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 wrapText="1"/>
    </xf>
    <xf numFmtId="1" fontId="1" fillId="0" borderId="12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8" fillId="0" borderId="4" xfId="0" applyFont="1" applyBorder="1" applyAlignment="1">
      <alignment/>
    </xf>
    <xf numFmtId="0" fontId="12" fillId="0" borderId="17" xfId="0" applyFont="1" applyBorder="1" applyAlignment="1">
      <alignment wrapText="1"/>
    </xf>
    <xf numFmtId="1" fontId="8" fillId="0" borderId="12" xfId="0" applyNumberFormat="1" applyFont="1" applyBorder="1" applyAlignment="1">
      <alignment horizontal="center" wrapText="1"/>
    </xf>
    <xf numFmtId="1" fontId="8" fillId="0" borderId="12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8" fillId="0" borderId="1" xfId="0" applyFont="1" applyBorder="1" applyAlignment="1">
      <alignment wrapText="1"/>
    </xf>
    <xf numFmtId="49" fontId="18" fillId="0" borderId="1" xfId="0" applyNumberFormat="1" applyFont="1" applyBorder="1" applyAlignment="1">
      <alignment horizontal="justify" vertical="top" wrapText="1"/>
    </xf>
    <xf numFmtId="1" fontId="0" fillId="0" borderId="0" xfId="0" applyNumberFormat="1" applyAlignment="1">
      <alignment horizontal="center"/>
    </xf>
    <xf numFmtId="0" fontId="1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0" fontId="12" fillId="0" borderId="2" xfId="0" applyFont="1" applyBorder="1" applyAlignment="1">
      <alignment/>
    </xf>
    <xf numFmtId="1" fontId="13" fillId="0" borderId="12" xfId="0" applyNumberFormat="1" applyFont="1" applyBorder="1" applyAlignment="1">
      <alignment horizontal="center" wrapText="1"/>
    </xf>
    <xf numFmtId="1" fontId="7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3" fillId="0" borderId="19" xfId="0" applyFont="1" applyBorder="1" applyAlignment="1">
      <alignment wrapText="1"/>
    </xf>
    <xf numFmtId="1" fontId="12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2" fillId="0" borderId="12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0" fontId="7" fillId="0" borderId="4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11"/>
  <sheetViews>
    <sheetView tabSelected="1" workbookViewId="0" topLeftCell="A3448">
      <selection activeCell="A3512" sqref="A3512:M3580"/>
    </sheetView>
  </sheetViews>
  <sheetFormatPr defaultColWidth="9.00390625" defaultRowHeight="12.75"/>
  <cols>
    <col min="1" max="1" width="63.75390625" style="0" customWidth="1"/>
    <col min="2" max="2" width="5.625" style="0" customWidth="1"/>
    <col min="3" max="3" width="9.375" style="0" customWidth="1"/>
    <col min="4" max="4" width="5.00390625" style="0" customWidth="1"/>
    <col min="5" max="5" width="10.00390625" style="0" customWidth="1"/>
    <col min="6" max="6" width="4.125" style="0" customWidth="1"/>
    <col min="7" max="7" width="7.75390625" style="0" customWidth="1"/>
    <col min="8" max="8" width="4.75390625" style="0" customWidth="1"/>
    <col min="9" max="9" width="9.375" style="0" customWidth="1"/>
    <col min="10" max="10" width="4.75390625" style="0" customWidth="1"/>
    <col min="11" max="11" width="8.875" style="0" customWidth="1"/>
    <col min="12" max="12" width="3.875" style="0" customWidth="1"/>
    <col min="13" max="13" width="8.625" style="0" customWidth="1"/>
  </cols>
  <sheetData>
    <row r="1" spans="1:6" ht="2.25" customHeight="1">
      <c r="A1" s="33"/>
      <c r="B1" s="33"/>
      <c r="C1" s="33"/>
      <c r="D1" s="33"/>
      <c r="E1" s="33"/>
      <c r="F1" s="33"/>
    </row>
    <row r="2" spans="1:6" ht="1.5" customHeight="1" hidden="1">
      <c r="A2" s="33"/>
      <c r="B2" s="33"/>
      <c r="C2" s="33"/>
      <c r="D2" s="33"/>
      <c r="E2" s="33"/>
      <c r="F2" s="33"/>
    </row>
    <row r="3" spans="1:6" ht="12.75" hidden="1">
      <c r="A3" s="33"/>
      <c r="B3" s="33"/>
      <c r="C3" s="33"/>
      <c r="D3" s="33"/>
      <c r="E3" s="33"/>
      <c r="F3" s="33"/>
    </row>
    <row r="4" spans="1:6" ht="12.75" hidden="1">
      <c r="A4" s="33"/>
      <c r="B4" s="33"/>
      <c r="C4" s="33"/>
      <c r="D4" s="33"/>
      <c r="E4" s="33"/>
      <c r="F4" s="33"/>
    </row>
    <row r="5" spans="1:6" ht="12.75" hidden="1">
      <c r="A5" s="33"/>
      <c r="B5" s="33"/>
      <c r="C5" s="33"/>
      <c r="D5" s="33"/>
      <c r="E5" s="33"/>
      <c r="F5" s="33"/>
    </row>
    <row r="6" spans="1:6" ht="12.75" hidden="1">
      <c r="A6" s="33"/>
      <c r="B6" s="33"/>
      <c r="C6" s="33"/>
      <c r="D6" s="33"/>
      <c r="E6" s="33"/>
      <c r="F6" s="33"/>
    </row>
    <row r="7" spans="1:6" ht="12.75" hidden="1">
      <c r="A7" s="33"/>
      <c r="B7" s="33"/>
      <c r="C7" s="33"/>
      <c r="D7" s="33"/>
      <c r="E7" s="33"/>
      <c r="F7" s="33"/>
    </row>
    <row r="8" spans="1:6" ht="12.75" hidden="1">
      <c r="A8" s="33"/>
      <c r="B8" s="33"/>
      <c r="C8" s="33"/>
      <c r="D8" s="33"/>
      <c r="E8" s="33"/>
      <c r="F8" s="33"/>
    </row>
    <row r="9" spans="1:6" ht="12.75" hidden="1">
      <c r="A9" s="33"/>
      <c r="B9" s="33"/>
      <c r="C9" s="33"/>
      <c r="D9" s="33"/>
      <c r="E9" s="33"/>
      <c r="F9" s="33"/>
    </row>
    <row r="10" spans="1:6" ht="322.5" customHeight="1" hidden="1">
      <c r="A10" s="33"/>
      <c r="B10" s="33"/>
      <c r="C10" s="33"/>
      <c r="D10" s="33"/>
      <c r="E10" s="33"/>
      <c r="F10" s="33"/>
    </row>
    <row r="11" spans="1:6" ht="12.75" hidden="1">
      <c r="A11" s="33"/>
      <c r="B11" s="33"/>
      <c r="C11" s="33"/>
      <c r="D11" s="33"/>
      <c r="E11" s="33"/>
      <c r="F11" s="33"/>
    </row>
    <row r="12" spans="1:6" ht="0.75" customHeight="1" hidden="1">
      <c r="A12" s="33"/>
      <c r="B12" s="33"/>
      <c r="C12" s="33"/>
      <c r="D12" s="33"/>
      <c r="E12" s="33"/>
      <c r="F12" s="33"/>
    </row>
    <row r="13" spans="1:6" ht="12.75" hidden="1">
      <c r="A13" s="33"/>
      <c r="B13" s="33"/>
      <c r="C13" s="33"/>
      <c r="D13" s="33"/>
      <c r="E13" s="33"/>
      <c r="F13" s="33"/>
    </row>
    <row r="14" spans="1:9" ht="12.75">
      <c r="A14" s="31" t="s">
        <v>21</v>
      </c>
      <c r="B14" s="31"/>
      <c r="C14" s="14"/>
      <c r="D14" s="14"/>
      <c r="E14" s="14"/>
      <c r="F14" s="14"/>
      <c r="G14" s="14"/>
      <c r="H14" s="14"/>
      <c r="I14" s="14"/>
    </row>
    <row r="15" spans="1:9" ht="12.75">
      <c r="A15" s="14" t="s">
        <v>31</v>
      </c>
      <c r="B15" s="14"/>
      <c r="C15" s="14"/>
      <c r="D15" s="14"/>
      <c r="E15" s="14"/>
      <c r="F15" s="14"/>
      <c r="G15" s="14"/>
      <c r="H15" s="14"/>
      <c r="I15" s="14"/>
    </row>
    <row r="16" spans="1:9" ht="12.75">
      <c r="A16" s="14" t="s">
        <v>37</v>
      </c>
      <c r="B16" s="14"/>
      <c r="C16" s="14"/>
      <c r="D16" s="14"/>
      <c r="E16" s="14"/>
      <c r="F16" s="14"/>
      <c r="G16" s="14"/>
      <c r="H16" s="14"/>
      <c r="I16" s="14"/>
    </row>
    <row r="17" spans="1:9" ht="12.75">
      <c r="A17" s="14" t="s">
        <v>95</v>
      </c>
      <c r="B17" s="14"/>
      <c r="C17" s="14"/>
      <c r="D17" s="14"/>
      <c r="E17" s="14" t="s">
        <v>32</v>
      </c>
      <c r="F17" s="14"/>
      <c r="G17" s="14"/>
      <c r="H17" s="14"/>
      <c r="I17" s="14"/>
    </row>
    <row r="18" spans="1:13" ht="28.5" customHeight="1">
      <c r="A18" s="6" t="s">
        <v>0</v>
      </c>
      <c r="B18" s="151" t="s">
        <v>38</v>
      </c>
      <c r="C18" s="152"/>
      <c r="D18" s="149" t="s">
        <v>39</v>
      </c>
      <c r="E18" s="150"/>
      <c r="F18" s="149" t="s">
        <v>96</v>
      </c>
      <c r="G18" s="150"/>
      <c r="H18" s="149" t="s">
        <v>97</v>
      </c>
      <c r="I18" s="150"/>
      <c r="J18" s="149" t="s">
        <v>98</v>
      </c>
      <c r="K18" s="150"/>
      <c r="L18" s="149" t="s">
        <v>99</v>
      </c>
      <c r="M18" s="150"/>
    </row>
    <row r="19" spans="1:13" ht="12.75">
      <c r="A19" s="11" t="s">
        <v>5</v>
      </c>
      <c r="B19" s="153"/>
      <c r="C19" s="154"/>
      <c r="D19" s="6" t="s">
        <v>40</v>
      </c>
      <c r="E19" s="6" t="s">
        <v>22</v>
      </c>
      <c r="F19" s="6" t="s">
        <v>40</v>
      </c>
      <c r="G19" s="13" t="s">
        <v>22</v>
      </c>
      <c r="H19" s="2"/>
      <c r="I19" s="2"/>
      <c r="J19" s="1"/>
      <c r="K19" s="1"/>
      <c r="L19" s="1"/>
      <c r="M19" s="1"/>
    </row>
    <row r="20" spans="1:13" ht="12.75">
      <c r="A20" s="2" t="s">
        <v>1</v>
      </c>
      <c r="B20" s="2"/>
      <c r="C20" s="6">
        <v>9</v>
      </c>
      <c r="D20" s="2"/>
      <c r="E20" s="2"/>
      <c r="F20" s="2"/>
      <c r="G20" s="16"/>
      <c r="H20" s="2"/>
      <c r="I20" s="2"/>
      <c r="J20" s="1"/>
      <c r="K20" s="1"/>
      <c r="L20" s="1"/>
      <c r="M20" s="1"/>
    </row>
    <row r="21" spans="1:13" ht="12.75">
      <c r="A21" s="2" t="s">
        <v>2</v>
      </c>
      <c r="B21" s="2"/>
      <c r="C21" s="6">
        <v>2</v>
      </c>
      <c r="D21" s="2"/>
      <c r="E21" s="2"/>
      <c r="F21" s="2"/>
      <c r="G21" s="16"/>
      <c r="H21" s="2"/>
      <c r="I21" s="2"/>
      <c r="J21" s="1"/>
      <c r="K21" s="1"/>
      <c r="L21" s="1"/>
      <c r="M21" s="1"/>
    </row>
    <row r="22" spans="1:13" ht="12.75">
      <c r="A22" s="2" t="s">
        <v>3</v>
      </c>
      <c r="B22" s="2"/>
      <c r="C22" s="6">
        <v>114</v>
      </c>
      <c r="D22" s="2"/>
      <c r="E22" s="2"/>
      <c r="F22" s="2"/>
      <c r="G22" s="16"/>
      <c r="H22" s="2"/>
      <c r="I22" s="2"/>
      <c r="J22" s="1"/>
      <c r="K22" s="1"/>
      <c r="L22" s="1"/>
      <c r="M22" s="1"/>
    </row>
    <row r="23" spans="1:13" ht="12.75">
      <c r="A23" s="2" t="s">
        <v>85</v>
      </c>
      <c r="B23" s="104"/>
      <c r="C23" s="19">
        <v>2987.74</v>
      </c>
      <c r="D23" s="19"/>
      <c r="E23" s="104"/>
      <c r="F23" s="104"/>
      <c r="G23" s="123"/>
      <c r="H23" s="104"/>
      <c r="I23" s="104"/>
      <c r="J23" s="20"/>
      <c r="K23" s="19">
        <v>2991.26</v>
      </c>
      <c r="L23" s="20"/>
      <c r="M23" s="20"/>
    </row>
    <row r="24" spans="1:13" ht="21.75">
      <c r="A24" s="35" t="s">
        <v>6</v>
      </c>
      <c r="B24" s="11" t="s">
        <v>40</v>
      </c>
      <c r="C24" s="2" t="s">
        <v>22</v>
      </c>
      <c r="D24" s="2"/>
      <c r="E24" s="2"/>
      <c r="F24" s="2"/>
      <c r="G24" s="16"/>
      <c r="H24" s="2"/>
      <c r="I24" s="2"/>
      <c r="J24" s="1"/>
      <c r="K24" s="1"/>
      <c r="L24" s="1"/>
      <c r="M24" s="1"/>
    </row>
    <row r="25" spans="1:13" ht="24" customHeight="1">
      <c r="A25" s="40" t="s">
        <v>7</v>
      </c>
      <c r="B25" s="3"/>
      <c r="C25" s="8">
        <f>E25+G25+I25+K25+M25</f>
        <v>774377.7000000001</v>
      </c>
      <c r="D25" s="2"/>
      <c r="E25" s="8">
        <f>G25+I25+K25+M25</f>
        <v>387188.85000000003</v>
      </c>
      <c r="F25" s="8"/>
      <c r="G25" s="17">
        <v>88351.7</v>
      </c>
      <c r="H25" s="2"/>
      <c r="I25" s="98">
        <v>102072.02</v>
      </c>
      <c r="J25" s="119"/>
      <c r="K25" s="119">
        <v>98832.99</v>
      </c>
      <c r="L25" s="119"/>
      <c r="M25" s="119">
        <v>97932.14</v>
      </c>
    </row>
    <row r="26" spans="1:13" ht="12.75">
      <c r="A26" s="41" t="s">
        <v>8</v>
      </c>
      <c r="B26" s="3"/>
      <c r="C26" s="6"/>
      <c r="D26" s="2"/>
      <c r="E26" s="8"/>
      <c r="F26" s="8"/>
      <c r="G26" s="17"/>
      <c r="H26" s="2"/>
      <c r="I26" s="2"/>
      <c r="J26" s="119"/>
      <c r="K26" s="119"/>
      <c r="L26" s="119"/>
      <c r="M26" s="119"/>
    </row>
    <row r="27" spans="1:13" ht="12.75">
      <c r="A27" s="41" t="s">
        <v>9</v>
      </c>
      <c r="B27" s="3"/>
      <c r="C27" s="6"/>
      <c r="D27" s="2"/>
      <c r="E27" s="8"/>
      <c r="F27" s="8"/>
      <c r="G27" s="17"/>
      <c r="H27" s="2"/>
      <c r="I27" s="2"/>
      <c r="J27" s="119"/>
      <c r="K27" s="119"/>
      <c r="L27" s="119"/>
      <c r="M27" s="119"/>
    </row>
    <row r="28" spans="1:13" ht="12.75">
      <c r="A28" s="2" t="s">
        <v>10</v>
      </c>
      <c r="B28" s="3"/>
      <c r="C28" s="11">
        <f>C25+C26+C27</f>
        <v>774377.7000000001</v>
      </c>
      <c r="D28" s="11"/>
      <c r="E28" s="8">
        <f>G28+I28+K28+M28</f>
        <v>387188.85000000003</v>
      </c>
      <c r="F28" s="8"/>
      <c r="G28" s="39">
        <f>G25+G26+G27</f>
        <v>88351.7</v>
      </c>
      <c r="H28" s="2"/>
      <c r="I28" s="4">
        <f>SUM(I25:I27)</f>
        <v>102072.02</v>
      </c>
      <c r="J28" s="119"/>
      <c r="K28" s="119">
        <f>K25+K26+K27</f>
        <v>98832.99</v>
      </c>
      <c r="L28" s="119"/>
      <c r="M28" s="119">
        <f>SUM(M25:M27)</f>
        <v>97932.14</v>
      </c>
    </row>
    <row r="29" spans="1:13" ht="21.75">
      <c r="A29" s="35" t="s">
        <v>82</v>
      </c>
      <c r="B29" s="42"/>
      <c r="C29" s="2"/>
      <c r="D29" s="2"/>
      <c r="E29" s="8"/>
      <c r="F29" s="7"/>
      <c r="G29" s="18"/>
      <c r="H29" s="2"/>
      <c r="I29" s="2"/>
      <c r="J29" s="119"/>
      <c r="K29" s="119"/>
      <c r="L29" s="119"/>
      <c r="M29" s="119"/>
    </row>
    <row r="30" spans="1:13" ht="30" customHeight="1">
      <c r="A30" s="43" t="s">
        <v>11</v>
      </c>
      <c r="B30" s="44" t="s">
        <v>77</v>
      </c>
      <c r="C30" s="45">
        <v>76139</v>
      </c>
      <c r="D30" s="45"/>
      <c r="E30" s="7">
        <f>G30+I30+K30+M30</f>
        <v>97513.3499132</v>
      </c>
      <c r="F30" s="45"/>
      <c r="G30" s="18">
        <f>7.99407*C23</f>
        <v>23884.202701799997</v>
      </c>
      <c r="H30" s="2"/>
      <c r="I30" s="7">
        <f>9.57707*C23</f>
        <v>28613.7951218</v>
      </c>
      <c r="J30" s="119"/>
      <c r="K30" s="7">
        <f>7.32829*K23</f>
        <v>21920.8207454</v>
      </c>
      <c r="L30" s="119"/>
      <c r="M30" s="7">
        <f>7.72067*K23</f>
        <v>23094.5313442</v>
      </c>
    </row>
    <row r="31" spans="1:13" ht="12.75">
      <c r="A31" s="43" t="s">
        <v>12</v>
      </c>
      <c r="B31" s="46"/>
      <c r="C31" s="7"/>
      <c r="D31" s="7"/>
      <c r="E31" s="7">
        <f>G31+I31+K31+M31</f>
        <v>0</v>
      </c>
      <c r="F31" s="7"/>
      <c r="G31" s="18"/>
      <c r="H31" s="2"/>
      <c r="I31" s="7"/>
      <c r="J31" s="119"/>
      <c r="K31" s="7"/>
      <c r="L31" s="119"/>
      <c r="M31" s="7"/>
    </row>
    <row r="32" spans="1:13" ht="12.75">
      <c r="A32" s="41" t="s">
        <v>13</v>
      </c>
      <c r="B32" s="46"/>
      <c r="C32" s="7">
        <f>C33+C35+C36+C37+C38+C39+C40+C41+C42+C43+C44</f>
        <v>132830</v>
      </c>
      <c r="D32" s="7"/>
      <c r="E32" s="7">
        <f>G32+I32+K32+M32</f>
        <v>135534.03352</v>
      </c>
      <c r="F32" s="7"/>
      <c r="G32" s="18">
        <f>G33+G35+G36+G37+G38+G39+G40+G41+G42+G43+G44+G45</f>
        <v>34276.189873999996</v>
      </c>
      <c r="H32" s="2"/>
      <c r="I32" s="7">
        <f>I33+I35+I36+I37+I38+I39+I40+I41+I42+I43+I44+I45</f>
        <v>33733.5081086</v>
      </c>
      <c r="J32" s="119"/>
      <c r="K32" s="7">
        <f>K33+K35+K36+K37+K38+K39+K40+K41+K42+K43+K44+K45</f>
        <v>37409.9443974</v>
      </c>
      <c r="L32" s="119"/>
      <c r="M32" s="7">
        <f>M33+M35+M36+M37+M38+M39+M40+M41+M42+M43+M44+M45</f>
        <v>30114.39114</v>
      </c>
    </row>
    <row r="33" spans="1:13" ht="21" customHeight="1">
      <c r="A33" s="47" t="s">
        <v>14</v>
      </c>
      <c r="B33" s="46" t="s">
        <v>48</v>
      </c>
      <c r="C33" s="7">
        <v>93388</v>
      </c>
      <c r="D33" s="7"/>
      <c r="E33" s="7">
        <f aca="true" t="shared" si="0" ref="E33:E45">G33+I33+K33+M33</f>
        <v>123291</v>
      </c>
      <c r="F33" s="7"/>
      <c r="G33" s="18">
        <v>31581</v>
      </c>
      <c r="H33" s="2"/>
      <c r="I33" s="7">
        <v>30696</v>
      </c>
      <c r="J33" s="119"/>
      <c r="K33" s="7">
        <v>32012</v>
      </c>
      <c r="L33" s="119"/>
      <c r="M33" s="7">
        <v>29002</v>
      </c>
    </row>
    <row r="34" spans="1:14" ht="12" customHeight="1">
      <c r="A34" s="41" t="s">
        <v>19</v>
      </c>
      <c r="B34" s="46" t="s">
        <v>49</v>
      </c>
      <c r="C34" s="7">
        <v>69595</v>
      </c>
      <c r="D34" s="7"/>
      <c r="E34" s="7">
        <f t="shared" si="0"/>
        <v>86433.74</v>
      </c>
      <c r="F34" s="7"/>
      <c r="G34" s="18">
        <v>21619</v>
      </c>
      <c r="H34" s="2"/>
      <c r="I34" s="7">
        <v>21619.15</v>
      </c>
      <c r="J34" s="119"/>
      <c r="K34" s="7">
        <v>21597.59</v>
      </c>
      <c r="L34" s="119"/>
      <c r="M34" s="7">
        <v>21598</v>
      </c>
      <c r="N34" s="147"/>
    </row>
    <row r="35" spans="1:13" ht="12.75">
      <c r="A35" s="41" t="s">
        <v>18</v>
      </c>
      <c r="B35" s="46" t="s">
        <v>44</v>
      </c>
      <c r="C35" s="7">
        <v>1319</v>
      </c>
      <c r="D35" s="7"/>
      <c r="E35" s="7">
        <f t="shared" si="0"/>
        <v>1110.6</v>
      </c>
      <c r="F35" s="7"/>
      <c r="G35" s="18">
        <v>174.14</v>
      </c>
      <c r="H35" s="2"/>
      <c r="I35" s="7">
        <v>245.1</v>
      </c>
      <c r="J35" s="119"/>
      <c r="K35" s="7">
        <v>331.88</v>
      </c>
      <c r="L35" s="119"/>
      <c r="M35" s="7">
        <v>359.48</v>
      </c>
    </row>
    <row r="36" spans="1:13" ht="12.75">
      <c r="A36" s="41" t="s">
        <v>53</v>
      </c>
      <c r="B36" s="46"/>
      <c r="C36" s="7">
        <v>6038</v>
      </c>
      <c r="D36" s="7"/>
      <c r="E36" s="7">
        <f t="shared" si="0"/>
        <v>5751.55098</v>
      </c>
      <c r="F36" s="7"/>
      <c r="G36" s="18">
        <v>1639</v>
      </c>
      <c r="H36" s="2"/>
      <c r="I36" s="7">
        <f>0.53049*C23</f>
        <v>1584.9661925999999</v>
      </c>
      <c r="J36" s="119"/>
      <c r="K36" s="7">
        <f>0.60599*K23</f>
        <v>1812.6736474000002</v>
      </c>
      <c r="L36" s="119"/>
      <c r="M36" s="7">
        <f>0.239*K23</f>
        <v>714.91114</v>
      </c>
    </row>
    <row r="37" spans="1:13" ht="22.5">
      <c r="A37" s="41" t="s">
        <v>23</v>
      </c>
      <c r="B37" s="46" t="s">
        <v>46</v>
      </c>
      <c r="C37" s="7">
        <v>1715</v>
      </c>
      <c r="D37" s="7"/>
      <c r="E37" s="7">
        <f t="shared" si="0"/>
        <v>165</v>
      </c>
      <c r="F37" s="7"/>
      <c r="G37" s="18"/>
      <c r="H37" s="2"/>
      <c r="I37" s="7">
        <v>165</v>
      </c>
      <c r="J37" s="119"/>
      <c r="K37" s="7"/>
      <c r="L37" s="119"/>
      <c r="M37" s="7"/>
    </row>
    <row r="38" spans="1:13" ht="12.75">
      <c r="A38" s="41" t="s">
        <v>27</v>
      </c>
      <c r="B38" s="46"/>
      <c r="C38" s="7">
        <v>339</v>
      </c>
      <c r="D38" s="7"/>
      <c r="E38" s="7">
        <f t="shared" si="0"/>
        <v>223.78172599999996</v>
      </c>
      <c r="F38" s="7"/>
      <c r="G38" s="18"/>
      <c r="H38" s="2"/>
      <c r="I38" s="7">
        <f>0.0749*C23</f>
        <v>223.78172599999996</v>
      </c>
      <c r="J38" s="119"/>
      <c r="K38" s="7"/>
      <c r="L38" s="119"/>
      <c r="M38" s="7"/>
    </row>
    <row r="39" spans="1:13" ht="22.5">
      <c r="A39" s="41" t="s">
        <v>36</v>
      </c>
      <c r="B39" s="46" t="s">
        <v>45</v>
      </c>
      <c r="C39" s="7">
        <v>1742</v>
      </c>
      <c r="D39" s="7"/>
      <c r="E39" s="7">
        <f t="shared" si="0"/>
        <v>3830</v>
      </c>
      <c r="F39" s="7"/>
      <c r="G39" s="18"/>
      <c r="H39" s="2" t="s">
        <v>209</v>
      </c>
      <c r="I39" s="7">
        <v>614</v>
      </c>
      <c r="J39" s="119" t="s">
        <v>286</v>
      </c>
      <c r="K39" s="7">
        <v>3216</v>
      </c>
      <c r="L39" s="119"/>
      <c r="M39" s="7"/>
    </row>
    <row r="40" spans="1:13" ht="22.5">
      <c r="A40" s="41" t="s">
        <v>58</v>
      </c>
      <c r="B40" s="46" t="s">
        <v>59</v>
      </c>
      <c r="C40" s="7">
        <v>10562</v>
      </c>
      <c r="D40" s="7"/>
      <c r="E40" s="7">
        <f t="shared" si="0"/>
        <v>0</v>
      </c>
      <c r="F40" s="7"/>
      <c r="G40" s="18"/>
      <c r="H40" s="2"/>
      <c r="I40" s="7"/>
      <c r="J40" s="119"/>
      <c r="K40" s="7"/>
      <c r="L40" s="119"/>
      <c r="M40" s="7"/>
    </row>
    <row r="41" spans="1:13" ht="12.75">
      <c r="A41" s="41" t="s">
        <v>43</v>
      </c>
      <c r="B41" s="46" t="s">
        <v>47</v>
      </c>
      <c r="C41" s="7">
        <v>11539</v>
      </c>
      <c r="D41" s="7"/>
      <c r="E41" s="7">
        <f t="shared" si="0"/>
        <v>0</v>
      </c>
      <c r="F41" s="7"/>
      <c r="G41" s="18"/>
      <c r="H41" s="2"/>
      <c r="I41" s="7"/>
      <c r="J41" s="119"/>
      <c r="K41" s="7"/>
      <c r="L41" s="119"/>
      <c r="M41" s="7"/>
    </row>
    <row r="42" spans="1:13" ht="12.75">
      <c r="A42" s="41" t="s">
        <v>30</v>
      </c>
      <c r="B42" s="46"/>
      <c r="C42" s="7">
        <v>2220</v>
      </c>
      <c r="D42" s="7"/>
      <c r="E42" s="7">
        <f t="shared" si="0"/>
        <v>0</v>
      </c>
      <c r="F42" s="7"/>
      <c r="G42" s="18"/>
      <c r="H42" s="2"/>
      <c r="I42" s="7"/>
      <c r="J42" s="119"/>
      <c r="K42" s="7"/>
      <c r="L42" s="119"/>
      <c r="M42" s="7"/>
    </row>
    <row r="43" spans="1:13" ht="12.75">
      <c r="A43" s="41" t="s">
        <v>54</v>
      </c>
      <c r="B43" s="46"/>
      <c r="C43" s="7">
        <v>493</v>
      </c>
      <c r="D43" s="7"/>
      <c r="E43" s="7">
        <f t="shared" si="0"/>
        <v>58.559703999999996</v>
      </c>
      <c r="F43" s="7"/>
      <c r="G43" s="18">
        <f>0.0196*C23</f>
        <v>58.559703999999996</v>
      </c>
      <c r="H43" s="2"/>
      <c r="I43" s="7"/>
      <c r="J43" s="119"/>
      <c r="K43" s="7"/>
      <c r="L43" s="119"/>
      <c r="M43" s="7"/>
    </row>
    <row r="44" spans="1:13" ht="12.75">
      <c r="A44" s="41" t="s">
        <v>55</v>
      </c>
      <c r="B44" s="46"/>
      <c r="C44" s="7">
        <v>3475</v>
      </c>
      <c r="D44" s="7"/>
      <c r="E44" s="7">
        <f t="shared" si="0"/>
        <v>1013.5411099999999</v>
      </c>
      <c r="F44" s="7"/>
      <c r="G44" s="18">
        <f>0.2455*C23</f>
        <v>733.4901699999999</v>
      </c>
      <c r="H44" s="2"/>
      <c r="I44" s="7">
        <f>0.0685*C23</f>
        <v>204.66019</v>
      </c>
      <c r="J44" s="119"/>
      <c r="K44" s="7">
        <f>0.0125*K23</f>
        <v>37.390750000000004</v>
      </c>
      <c r="L44" s="119"/>
      <c r="M44" s="7">
        <v>38</v>
      </c>
    </row>
    <row r="45" spans="1:13" ht="13.5" thickBot="1">
      <c r="A45" s="48" t="s">
        <v>90</v>
      </c>
      <c r="B45" s="49"/>
      <c r="C45" s="50"/>
      <c r="D45" s="50"/>
      <c r="E45" s="7">
        <f t="shared" si="0"/>
        <v>90</v>
      </c>
      <c r="F45" s="50"/>
      <c r="G45" s="23">
        <v>90</v>
      </c>
      <c r="H45" s="22"/>
      <c r="I45" s="50"/>
      <c r="J45" s="120"/>
      <c r="K45" s="50"/>
      <c r="L45" s="120"/>
      <c r="M45" s="50"/>
    </row>
    <row r="46" spans="1:13" ht="13.5" thickBot="1">
      <c r="A46" s="51" t="s">
        <v>76</v>
      </c>
      <c r="B46" s="52"/>
      <c r="C46" s="53">
        <f>C30+C32</f>
        <v>208969</v>
      </c>
      <c r="D46" s="72"/>
      <c r="E46" s="34">
        <f>E30+E32</f>
        <v>233047.3834332</v>
      </c>
      <c r="F46" s="135"/>
      <c r="G46" s="72">
        <f>G30+G32</f>
        <v>58160.3925758</v>
      </c>
      <c r="H46" s="26"/>
      <c r="I46" s="63">
        <f>I30+I32</f>
        <v>62347.3032304</v>
      </c>
      <c r="J46" s="121"/>
      <c r="K46" s="63">
        <f>K30+K32</f>
        <v>59330.7651428</v>
      </c>
      <c r="L46" s="121"/>
      <c r="M46" s="29">
        <f>M30+M32</f>
        <v>53208.9224842</v>
      </c>
    </row>
    <row r="47" spans="1:13" ht="21.75">
      <c r="A47" s="54" t="s">
        <v>15</v>
      </c>
      <c r="B47" s="55"/>
      <c r="C47" s="56"/>
      <c r="D47" s="56"/>
      <c r="E47" s="56"/>
      <c r="F47" s="56"/>
      <c r="G47" s="73"/>
      <c r="H47" s="74"/>
      <c r="I47" s="56"/>
      <c r="J47" s="122"/>
      <c r="K47" s="56"/>
      <c r="L47" s="122"/>
      <c r="M47" s="56"/>
    </row>
    <row r="48" spans="1:13" ht="22.5">
      <c r="A48" s="41" t="s">
        <v>17</v>
      </c>
      <c r="B48" s="57" t="s">
        <v>78</v>
      </c>
      <c r="C48" s="7">
        <v>75138</v>
      </c>
      <c r="D48" s="7">
        <v>75138</v>
      </c>
      <c r="E48" s="7">
        <f>G48+I48+K48+M48</f>
        <v>84659.8132712</v>
      </c>
      <c r="F48" s="7"/>
      <c r="G48" s="18">
        <f>6.73321*C23</f>
        <v>20117.080845399996</v>
      </c>
      <c r="H48" s="2"/>
      <c r="I48" s="7">
        <f>7.02207*C23</f>
        <v>20980.1194218</v>
      </c>
      <c r="J48" s="119"/>
      <c r="K48" s="7">
        <f>7.2754*K23</f>
        <v>21762.613004000003</v>
      </c>
      <c r="L48" s="119"/>
      <c r="M48" s="7">
        <v>21800</v>
      </c>
    </row>
    <row r="49" spans="1:13" ht="22.5">
      <c r="A49" s="41" t="s">
        <v>34</v>
      </c>
      <c r="B49" s="46" t="s">
        <v>61</v>
      </c>
      <c r="C49" s="7">
        <v>22450</v>
      </c>
      <c r="D49" s="7"/>
      <c r="E49" s="7">
        <f aca="true" t="shared" si="1" ref="E49:E72">G49+I49+K49+M49</f>
        <v>0</v>
      </c>
      <c r="F49" s="7"/>
      <c r="G49" s="18"/>
      <c r="H49" s="2"/>
      <c r="I49" s="7"/>
      <c r="J49" s="119"/>
      <c r="K49" s="7"/>
      <c r="L49" s="119"/>
      <c r="M49" s="7"/>
    </row>
    <row r="50" spans="1:13" ht="12.75">
      <c r="A50" s="41" t="s">
        <v>67</v>
      </c>
      <c r="B50" s="46" t="s">
        <v>71</v>
      </c>
      <c r="C50" s="7">
        <v>17153</v>
      </c>
      <c r="D50" s="7"/>
      <c r="E50" s="7">
        <f t="shared" si="1"/>
        <v>12927</v>
      </c>
      <c r="F50" s="7"/>
      <c r="G50" s="18">
        <v>6382</v>
      </c>
      <c r="H50" s="2"/>
      <c r="I50" s="7">
        <v>1465</v>
      </c>
      <c r="J50" s="119"/>
      <c r="K50" s="7">
        <v>3600</v>
      </c>
      <c r="L50" s="119"/>
      <c r="M50" s="7">
        <v>1480</v>
      </c>
    </row>
    <row r="51" spans="1:13" ht="12.75">
      <c r="A51" s="41" t="s">
        <v>68</v>
      </c>
      <c r="B51" s="46"/>
      <c r="C51" s="7">
        <v>1197</v>
      </c>
      <c r="D51" s="7"/>
      <c r="E51" s="7">
        <f t="shared" si="1"/>
        <v>1960</v>
      </c>
      <c r="F51" s="7"/>
      <c r="G51" s="18">
        <v>600</v>
      </c>
      <c r="H51" s="2"/>
      <c r="I51" s="7">
        <v>643</v>
      </c>
      <c r="J51" s="119"/>
      <c r="K51" s="7">
        <v>677</v>
      </c>
      <c r="L51" s="119"/>
      <c r="M51" s="7">
        <v>40</v>
      </c>
    </row>
    <row r="52" spans="1:13" ht="12.75">
      <c r="A52" s="41" t="s">
        <v>69</v>
      </c>
      <c r="B52" s="46" t="s">
        <v>74</v>
      </c>
      <c r="C52" s="7">
        <v>3576</v>
      </c>
      <c r="D52" s="7"/>
      <c r="E52" s="7">
        <f t="shared" si="1"/>
        <v>400</v>
      </c>
      <c r="F52" s="7"/>
      <c r="G52" s="18">
        <v>400</v>
      </c>
      <c r="H52" s="2"/>
      <c r="I52" s="7"/>
      <c r="J52" s="119"/>
      <c r="K52" s="7"/>
      <c r="L52" s="119"/>
      <c r="M52" s="7"/>
    </row>
    <row r="53" spans="1:13" ht="12.75">
      <c r="A53" s="41" t="s">
        <v>26</v>
      </c>
      <c r="B53" s="46" t="s">
        <v>73</v>
      </c>
      <c r="C53" s="7">
        <v>3320</v>
      </c>
      <c r="D53" s="7"/>
      <c r="E53" s="7">
        <f t="shared" si="1"/>
        <v>1272</v>
      </c>
      <c r="F53" s="7"/>
      <c r="G53" s="18"/>
      <c r="H53" s="2"/>
      <c r="I53" s="7">
        <v>1082</v>
      </c>
      <c r="J53" s="119"/>
      <c r="K53" s="7">
        <v>95</v>
      </c>
      <c r="L53" s="119"/>
      <c r="M53" s="7">
        <v>95</v>
      </c>
    </row>
    <row r="54" spans="1:13" ht="12.75">
      <c r="A54" s="41" t="s">
        <v>28</v>
      </c>
      <c r="B54" s="46" t="s">
        <v>72</v>
      </c>
      <c r="C54" s="7">
        <v>6784</v>
      </c>
      <c r="D54" s="7"/>
      <c r="E54" s="7">
        <f t="shared" si="1"/>
        <v>12807</v>
      </c>
      <c r="F54" s="7"/>
      <c r="G54" s="18">
        <v>11252</v>
      </c>
      <c r="H54" s="2"/>
      <c r="I54" s="7"/>
      <c r="J54" s="119"/>
      <c r="K54" s="7"/>
      <c r="L54" s="119"/>
      <c r="M54" s="7">
        <v>1555</v>
      </c>
    </row>
    <row r="55" spans="1:13" ht="12.75">
      <c r="A55" s="41" t="s">
        <v>60</v>
      </c>
      <c r="B55" s="46"/>
      <c r="C55" s="7">
        <v>796</v>
      </c>
      <c r="D55" s="7"/>
      <c r="E55" s="7">
        <f t="shared" si="1"/>
        <v>0</v>
      </c>
      <c r="F55" s="7"/>
      <c r="G55" s="18"/>
      <c r="H55" s="2"/>
      <c r="I55" s="7"/>
      <c r="J55" s="119"/>
      <c r="K55" s="7"/>
      <c r="L55" s="119"/>
      <c r="M55" s="7"/>
    </row>
    <row r="56" spans="1:13" ht="12.75">
      <c r="A56" s="41" t="s">
        <v>75</v>
      </c>
      <c r="B56" s="46"/>
      <c r="C56" s="7">
        <v>6365</v>
      </c>
      <c r="D56" s="6"/>
      <c r="E56" s="7">
        <f t="shared" si="1"/>
        <v>7403.6</v>
      </c>
      <c r="F56" s="7"/>
      <c r="G56" s="18"/>
      <c r="H56" s="2"/>
      <c r="I56" s="7">
        <v>700</v>
      </c>
      <c r="J56" s="119"/>
      <c r="K56" s="7">
        <v>6703.6</v>
      </c>
      <c r="L56" s="119"/>
      <c r="M56" s="7"/>
    </row>
    <row r="57" spans="1:13" ht="12.75">
      <c r="A57" s="41" t="s">
        <v>384</v>
      </c>
      <c r="B57" s="46"/>
      <c r="C57" s="7"/>
      <c r="D57" s="6"/>
      <c r="E57" s="7">
        <f t="shared" si="1"/>
        <v>550</v>
      </c>
      <c r="F57" s="7"/>
      <c r="G57" s="18"/>
      <c r="H57" s="2"/>
      <c r="I57" s="7"/>
      <c r="J57" s="119"/>
      <c r="K57" s="7"/>
      <c r="L57" s="119"/>
      <c r="M57" s="7">
        <v>550</v>
      </c>
    </row>
    <row r="58" spans="1:13" ht="12.75">
      <c r="A58" s="41" t="s">
        <v>62</v>
      </c>
      <c r="B58" s="46" t="s">
        <v>79</v>
      </c>
      <c r="C58" s="7">
        <v>9557</v>
      </c>
      <c r="D58" s="7"/>
      <c r="E58" s="7">
        <f t="shared" si="1"/>
        <v>0</v>
      </c>
      <c r="F58" s="7"/>
      <c r="G58" s="18"/>
      <c r="H58" s="2"/>
      <c r="I58" s="7"/>
      <c r="J58" s="119"/>
      <c r="K58" s="7"/>
      <c r="L58" s="119"/>
      <c r="M58" s="7"/>
    </row>
    <row r="59" spans="1:13" ht="12.75">
      <c r="A59" s="41" t="s">
        <v>63</v>
      </c>
      <c r="B59" s="46"/>
      <c r="C59" s="7">
        <v>796</v>
      </c>
      <c r="D59" s="2"/>
      <c r="E59" s="7">
        <f t="shared" si="1"/>
        <v>0</v>
      </c>
      <c r="F59" s="7"/>
      <c r="G59" s="18"/>
      <c r="H59" s="2"/>
      <c r="I59" s="7"/>
      <c r="J59" s="119"/>
      <c r="K59" s="7"/>
      <c r="L59" s="119"/>
      <c r="M59" s="7"/>
    </row>
    <row r="60" spans="1:13" ht="12.75">
      <c r="A60" s="41" t="s">
        <v>91</v>
      </c>
      <c r="B60" s="46"/>
      <c r="C60" s="7">
        <v>430</v>
      </c>
      <c r="D60" s="7"/>
      <c r="E60" s="7">
        <f t="shared" si="1"/>
        <v>580</v>
      </c>
      <c r="F60" s="7"/>
      <c r="G60" s="18">
        <v>580</v>
      </c>
      <c r="H60" s="2"/>
      <c r="I60" s="7"/>
      <c r="J60" s="119"/>
      <c r="K60" s="7"/>
      <c r="L60" s="119"/>
      <c r="M60" s="7"/>
    </row>
    <row r="61" spans="1:13" ht="12.75">
      <c r="A61" s="41" t="s">
        <v>51</v>
      </c>
      <c r="B61" s="46"/>
      <c r="C61" s="7">
        <v>3287</v>
      </c>
      <c r="D61" s="7"/>
      <c r="E61" s="7">
        <f t="shared" si="1"/>
        <v>1393.44</v>
      </c>
      <c r="F61" s="7"/>
      <c r="G61" s="18"/>
      <c r="H61" s="2"/>
      <c r="I61" s="7">
        <v>1393.44</v>
      </c>
      <c r="J61" s="119"/>
      <c r="K61" s="7"/>
      <c r="L61" s="119"/>
      <c r="M61" s="7"/>
    </row>
    <row r="62" spans="1:13" ht="12.75">
      <c r="A62" s="58" t="s">
        <v>52</v>
      </c>
      <c r="B62" s="46"/>
      <c r="C62" s="7">
        <v>1985</v>
      </c>
      <c r="D62" s="7"/>
      <c r="E62" s="7">
        <f t="shared" si="1"/>
        <v>0</v>
      </c>
      <c r="F62" s="7"/>
      <c r="G62" s="18"/>
      <c r="H62" s="2"/>
      <c r="I62" s="7"/>
      <c r="J62" s="119"/>
      <c r="K62" s="7"/>
      <c r="L62" s="119"/>
      <c r="M62" s="7"/>
    </row>
    <row r="63" spans="1:13" ht="18" customHeight="1">
      <c r="A63" s="41" t="s">
        <v>80</v>
      </c>
      <c r="B63" s="46" t="s">
        <v>64</v>
      </c>
      <c r="C63" s="7">
        <v>2815</v>
      </c>
      <c r="D63" s="7"/>
      <c r="E63" s="7">
        <f t="shared" si="1"/>
        <v>0</v>
      </c>
      <c r="F63" s="7"/>
      <c r="G63" s="18"/>
      <c r="H63" s="2"/>
      <c r="I63" s="7"/>
      <c r="J63" s="119"/>
      <c r="K63" s="7"/>
      <c r="L63" s="119"/>
      <c r="M63" s="7"/>
    </row>
    <row r="64" spans="1:13" ht="12.75">
      <c r="A64" s="41" t="s">
        <v>65</v>
      </c>
      <c r="B64" s="46"/>
      <c r="C64" s="7">
        <v>796</v>
      </c>
      <c r="D64" s="7"/>
      <c r="E64" s="7">
        <f t="shared" si="1"/>
        <v>0</v>
      </c>
      <c r="F64" s="7"/>
      <c r="G64" s="18"/>
      <c r="H64" s="2"/>
      <c r="I64" s="7"/>
      <c r="J64" s="119"/>
      <c r="K64" s="7"/>
      <c r="L64" s="119"/>
      <c r="M64" s="7"/>
    </row>
    <row r="65" spans="1:13" ht="12.75">
      <c r="A65" s="41" t="s">
        <v>92</v>
      </c>
      <c r="B65" s="46"/>
      <c r="C65" s="7"/>
      <c r="D65" s="7"/>
      <c r="E65" s="7">
        <f t="shared" si="1"/>
        <v>3300</v>
      </c>
      <c r="F65" s="7"/>
      <c r="G65" s="18">
        <v>3300</v>
      </c>
      <c r="H65" s="2"/>
      <c r="I65" s="7"/>
      <c r="J65" s="119"/>
      <c r="K65" s="7"/>
      <c r="L65" s="119"/>
      <c r="M65" s="7"/>
    </row>
    <row r="66" spans="1:13" ht="12.75">
      <c r="A66" s="41" t="s">
        <v>88</v>
      </c>
      <c r="B66" s="46" t="s">
        <v>70</v>
      </c>
      <c r="C66" s="7">
        <v>10800</v>
      </c>
      <c r="D66" s="7"/>
      <c r="E66" s="7">
        <f t="shared" si="1"/>
        <v>21.212954</v>
      </c>
      <c r="F66" s="7"/>
      <c r="G66" s="18"/>
      <c r="H66" s="2"/>
      <c r="I66" s="7">
        <f>0.0071*C23</f>
        <v>21.212954</v>
      </c>
      <c r="J66" s="119"/>
      <c r="K66" s="7"/>
      <c r="L66" s="119"/>
      <c r="M66" s="7"/>
    </row>
    <row r="67" spans="1:13" ht="12.75">
      <c r="A67" s="41" t="s">
        <v>33</v>
      </c>
      <c r="B67" s="46"/>
      <c r="C67" s="7">
        <v>11812</v>
      </c>
      <c r="D67" s="7"/>
      <c r="E67" s="7">
        <f t="shared" si="1"/>
        <v>3795.77</v>
      </c>
      <c r="F67" s="7"/>
      <c r="G67" s="18"/>
      <c r="H67" s="2"/>
      <c r="I67" s="7"/>
      <c r="J67" s="119"/>
      <c r="K67" s="7">
        <v>1871</v>
      </c>
      <c r="L67" s="119"/>
      <c r="M67" s="7">
        <v>1924.77</v>
      </c>
    </row>
    <row r="68" spans="1:13" ht="14.25" customHeight="1">
      <c r="A68" s="41" t="s">
        <v>50</v>
      </c>
      <c r="B68" s="46"/>
      <c r="C68" s="7">
        <v>1090</v>
      </c>
      <c r="D68" s="7"/>
      <c r="E68" s="7">
        <f t="shared" si="1"/>
        <v>2543.22083</v>
      </c>
      <c r="F68" s="7"/>
      <c r="G68" s="18"/>
      <c r="H68" s="2"/>
      <c r="I68" s="7">
        <f>0.5802*C23</f>
        <v>1733.486748</v>
      </c>
      <c r="J68" s="119"/>
      <c r="K68" s="7">
        <f>0.1437*K23</f>
        <v>429.844062</v>
      </c>
      <c r="L68" s="119"/>
      <c r="M68" s="7">
        <f>0.127*K23</f>
        <v>379.89002000000005</v>
      </c>
    </row>
    <row r="69" spans="1:13" ht="14.25" customHeight="1">
      <c r="A69" s="41" t="s">
        <v>54</v>
      </c>
      <c r="B69" s="46"/>
      <c r="C69" s="7">
        <v>248</v>
      </c>
      <c r="D69" s="7"/>
      <c r="E69" s="7">
        <f t="shared" si="1"/>
        <v>92.103352</v>
      </c>
      <c r="F69" s="7"/>
      <c r="G69" s="18"/>
      <c r="H69" s="2"/>
      <c r="I69" s="7">
        <f>0.0078*C23</f>
        <v>23.304371999999997</v>
      </c>
      <c r="J69" s="119"/>
      <c r="K69" s="7">
        <f>0.011*K23</f>
        <v>32.90386</v>
      </c>
      <c r="L69" s="119"/>
      <c r="M69" s="7">
        <f>0.012*K23</f>
        <v>35.895120000000006</v>
      </c>
    </row>
    <row r="70" spans="1:13" ht="14.25" customHeight="1">
      <c r="A70" s="48" t="s">
        <v>381</v>
      </c>
      <c r="B70" s="49"/>
      <c r="C70" s="7"/>
      <c r="D70" s="50"/>
      <c r="E70" s="7">
        <f t="shared" si="1"/>
        <v>7598</v>
      </c>
      <c r="F70" s="50"/>
      <c r="G70" s="23"/>
      <c r="H70" s="22"/>
      <c r="I70" s="50"/>
      <c r="J70" s="120"/>
      <c r="K70" s="50"/>
      <c r="L70" s="120"/>
      <c r="M70" s="50">
        <v>7598</v>
      </c>
    </row>
    <row r="71" spans="1:13" ht="14.25" customHeight="1">
      <c r="A71" s="48" t="s">
        <v>383</v>
      </c>
      <c r="B71" s="49"/>
      <c r="C71" s="7"/>
      <c r="D71" s="50"/>
      <c r="E71" s="7">
        <f t="shared" si="1"/>
        <v>110</v>
      </c>
      <c r="F71" s="50"/>
      <c r="G71" s="23"/>
      <c r="H71" s="22"/>
      <c r="I71" s="50"/>
      <c r="J71" s="120"/>
      <c r="K71" s="50"/>
      <c r="L71" s="120"/>
      <c r="M71" s="50">
        <v>110</v>
      </c>
    </row>
    <row r="72" spans="1:13" ht="14.25" customHeight="1" thickBot="1">
      <c r="A72" s="48" t="s">
        <v>94</v>
      </c>
      <c r="B72" s="49"/>
      <c r="C72" s="7"/>
      <c r="D72" s="50"/>
      <c r="E72" s="7">
        <f t="shared" si="1"/>
        <v>3500</v>
      </c>
      <c r="F72" s="50"/>
      <c r="G72" s="23">
        <v>3500</v>
      </c>
      <c r="H72" s="22"/>
      <c r="I72" s="50"/>
      <c r="J72" s="120"/>
      <c r="K72" s="50"/>
      <c r="L72" s="120"/>
      <c r="M72" s="50"/>
    </row>
    <row r="73" spans="1:13" ht="13.5" thickBot="1">
      <c r="A73" s="59" t="s">
        <v>10</v>
      </c>
      <c r="B73" s="52"/>
      <c r="C73" s="53">
        <f>SUM(C48:C69)</f>
        <v>180395</v>
      </c>
      <c r="D73" s="53"/>
      <c r="E73" s="53">
        <f>SUM(E48:E72)</f>
        <v>144913.16040720002</v>
      </c>
      <c r="F73" s="53"/>
      <c r="G73" s="72">
        <f>SUM(G48:G72)</f>
        <v>46131.08084539999</v>
      </c>
      <c r="H73" s="26"/>
      <c r="I73" s="63">
        <f>SUM(I48:I72)</f>
        <v>28041.563495799994</v>
      </c>
      <c r="J73" s="121"/>
      <c r="K73" s="63">
        <f>SUM(K48:K72)</f>
        <v>35171.960926</v>
      </c>
      <c r="L73" s="121"/>
      <c r="M73" s="29">
        <f>SUM(M48:M72)</f>
        <v>35568.55514</v>
      </c>
    </row>
    <row r="74" spans="1:13" ht="12.75">
      <c r="A74" s="60" t="s">
        <v>42</v>
      </c>
      <c r="B74" s="61"/>
      <c r="C74" s="56"/>
      <c r="D74" s="56"/>
      <c r="E74" s="56"/>
      <c r="F74" s="56"/>
      <c r="G74" s="73"/>
      <c r="H74" s="74"/>
      <c r="I74" s="56"/>
      <c r="J74" s="122"/>
      <c r="K74" s="56"/>
      <c r="L74" s="122"/>
      <c r="M74" s="56"/>
    </row>
    <row r="75" spans="1:13" ht="12.75">
      <c r="A75" s="41" t="s">
        <v>56</v>
      </c>
      <c r="B75" s="46"/>
      <c r="C75" s="7">
        <v>520</v>
      </c>
      <c r="D75" s="7"/>
      <c r="E75" s="7">
        <f aca="true" t="shared" si="2" ref="E75:E82">G75+I75+K75+M75</f>
        <v>0</v>
      </c>
      <c r="F75" s="7"/>
      <c r="G75" s="18"/>
      <c r="H75" s="2"/>
      <c r="I75" s="7"/>
      <c r="J75" s="119"/>
      <c r="K75" s="7"/>
      <c r="L75" s="119"/>
      <c r="M75" s="7"/>
    </row>
    <row r="76" spans="1:13" ht="12.75">
      <c r="A76" s="41" t="s">
        <v>385</v>
      </c>
      <c r="B76" s="46"/>
      <c r="C76" s="7"/>
      <c r="D76" s="7"/>
      <c r="E76" s="7">
        <f t="shared" si="2"/>
        <v>160.45</v>
      </c>
      <c r="F76" s="7"/>
      <c r="G76" s="18"/>
      <c r="H76" s="2"/>
      <c r="I76" s="7"/>
      <c r="J76" s="119"/>
      <c r="K76" s="7"/>
      <c r="L76" s="119"/>
      <c r="M76" s="7">
        <v>160.45</v>
      </c>
    </row>
    <row r="77" spans="1:13" ht="12.75">
      <c r="A77" s="41" t="s">
        <v>89</v>
      </c>
      <c r="B77" s="46"/>
      <c r="C77" s="7"/>
      <c r="D77" s="7"/>
      <c r="E77" s="7">
        <f t="shared" si="2"/>
        <v>680</v>
      </c>
      <c r="F77" s="7"/>
      <c r="G77" s="18">
        <v>480</v>
      </c>
      <c r="H77" s="2"/>
      <c r="I77" s="7">
        <v>200</v>
      </c>
      <c r="J77" s="119"/>
      <c r="K77" s="7"/>
      <c r="L77" s="119"/>
      <c r="M77" s="7"/>
    </row>
    <row r="78" spans="1:13" ht="12.75">
      <c r="A78" s="41" t="s">
        <v>285</v>
      </c>
      <c r="B78" s="46"/>
      <c r="C78" s="7"/>
      <c r="D78" s="7"/>
      <c r="E78" s="7">
        <f t="shared" si="2"/>
        <v>1206</v>
      </c>
      <c r="F78" s="7"/>
      <c r="G78" s="18"/>
      <c r="H78" s="2"/>
      <c r="I78" s="7"/>
      <c r="J78" s="119"/>
      <c r="K78" s="7">
        <v>1206</v>
      </c>
      <c r="L78" s="119"/>
      <c r="M78" s="7"/>
    </row>
    <row r="79" spans="1:13" ht="12.75">
      <c r="A79" s="41" t="s">
        <v>386</v>
      </c>
      <c r="B79" s="46"/>
      <c r="C79" s="7"/>
      <c r="D79" s="7"/>
      <c r="E79" s="7">
        <f t="shared" si="2"/>
        <v>135</v>
      </c>
      <c r="F79" s="7"/>
      <c r="G79" s="18"/>
      <c r="H79" s="2"/>
      <c r="I79" s="7"/>
      <c r="J79" s="119"/>
      <c r="K79" s="7"/>
      <c r="L79" s="119"/>
      <c r="M79" s="7">
        <v>135</v>
      </c>
    </row>
    <row r="80" spans="1:13" ht="12.75">
      <c r="A80" s="41" t="s">
        <v>16</v>
      </c>
      <c r="B80" s="46"/>
      <c r="C80" s="7">
        <v>0</v>
      </c>
      <c r="D80" s="7"/>
      <c r="E80" s="7">
        <f t="shared" si="2"/>
        <v>106.75665400000001</v>
      </c>
      <c r="F80" s="7"/>
      <c r="G80" s="18">
        <f>0.0089*C23</f>
        <v>26.590885999999998</v>
      </c>
      <c r="H80" s="2"/>
      <c r="I80" s="7"/>
      <c r="J80" s="119"/>
      <c r="K80" s="7"/>
      <c r="L80" s="119"/>
      <c r="M80" s="7">
        <f>0.0268*K23</f>
        <v>80.16576800000001</v>
      </c>
    </row>
    <row r="81" spans="1:13" ht="12.75">
      <c r="A81" s="41" t="s">
        <v>382</v>
      </c>
      <c r="B81" s="49"/>
      <c r="C81" s="50"/>
      <c r="D81" s="50"/>
      <c r="E81" s="7">
        <f t="shared" si="2"/>
        <v>267.2</v>
      </c>
      <c r="F81" s="50"/>
      <c r="G81" s="23"/>
      <c r="H81" s="22"/>
      <c r="I81" s="50"/>
      <c r="J81" s="120"/>
      <c r="K81" s="50"/>
      <c r="L81" s="120"/>
      <c r="M81" s="50">
        <v>267.2</v>
      </c>
    </row>
    <row r="82" spans="1:13" ht="13.5" thickBot="1">
      <c r="A82" s="48" t="s">
        <v>93</v>
      </c>
      <c r="B82" s="49"/>
      <c r="C82" s="50"/>
      <c r="D82" s="50"/>
      <c r="E82" s="7">
        <f t="shared" si="2"/>
        <v>7560</v>
      </c>
      <c r="F82" s="50"/>
      <c r="G82" s="23">
        <v>7560</v>
      </c>
      <c r="H82" s="22"/>
      <c r="I82" s="50"/>
      <c r="J82" s="120"/>
      <c r="K82" s="50"/>
      <c r="L82" s="120"/>
      <c r="M82" s="50"/>
    </row>
    <row r="83" spans="1:13" ht="13.5" thickBot="1">
      <c r="A83" s="62" t="s">
        <v>10</v>
      </c>
      <c r="B83" s="52"/>
      <c r="C83" s="53">
        <f>C75+C80</f>
        <v>520</v>
      </c>
      <c r="D83" s="53"/>
      <c r="E83" s="63">
        <f>SUM(E75:E82)</f>
        <v>10115.406653999999</v>
      </c>
      <c r="F83" s="53"/>
      <c r="G83" s="27">
        <f>SUM(G77:G82)</f>
        <v>8066.590886</v>
      </c>
      <c r="H83" s="26"/>
      <c r="I83" s="63">
        <f>SUM(I75:I82)</f>
        <v>200</v>
      </c>
      <c r="J83" s="121"/>
      <c r="K83" s="63">
        <f>SUM(K75:K82)</f>
        <v>1206</v>
      </c>
      <c r="L83" s="121"/>
      <c r="M83" s="29">
        <f>SUM(M75:M82)</f>
        <v>642.8157679999999</v>
      </c>
    </row>
    <row r="84" spans="1:13" ht="13.5" thickBot="1">
      <c r="A84" s="64" t="s">
        <v>29</v>
      </c>
      <c r="B84" s="52"/>
      <c r="C84" s="53">
        <v>3803</v>
      </c>
      <c r="D84" s="63"/>
      <c r="E84" s="63">
        <f>G84+I84+K84+M84</f>
        <v>6854.468938</v>
      </c>
      <c r="F84" s="63"/>
      <c r="G84" s="27">
        <f>0.4236*C23</f>
        <v>1265.606664</v>
      </c>
      <c r="H84" s="26"/>
      <c r="I84" s="63">
        <f>0.5971*C23</f>
        <v>1783.9795539999998</v>
      </c>
      <c r="J84" s="121"/>
      <c r="K84" s="63">
        <v>0</v>
      </c>
      <c r="L84" s="121"/>
      <c r="M84" s="29">
        <f>1.272*K23</f>
        <v>3804.8827200000005</v>
      </c>
    </row>
    <row r="85" spans="1:13" ht="21.75">
      <c r="A85" s="65" t="s">
        <v>83</v>
      </c>
      <c r="B85" s="55"/>
      <c r="C85" s="66">
        <f>C46+C73+C83+C84</f>
        <v>393687</v>
      </c>
      <c r="D85" s="66"/>
      <c r="E85" s="66">
        <f>E46+E73+E83+E84</f>
        <v>394930.4194324</v>
      </c>
      <c r="F85" s="66"/>
      <c r="G85" s="73">
        <f>G46+G73+G83+G84</f>
        <v>113623.6709712</v>
      </c>
      <c r="H85" s="74"/>
      <c r="I85" s="56">
        <f>I46+I73+I83+I84</f>
        <v>92372.8462802</v>
      </c>
      <c r="J85" s="122"/>
      <c r="K85" s="56">
        <f>K46+K73+K83+K84</f>
        <v>95708.7260688</v>
      </c>
      <c r="L85" s="122"/>
      <c r="M85" s="56">
        <f>M46+M73+M83+M84</f>
        <v>93225.17611219999</v>
      </c>
    </row>
    <row r="86" spans="1:13" ht="23.25" customHeight="1">
      <c r="A86" s="67" t="s">
        <v>84</v>
      </c>
      <c r="B86" s="68"/>
      <c r="C86" s="9">
        <f>C85/C23/12</f>
        <v>10.980624150695844</v>
      </c>
      <c r="D86" s="9"/>
      <c r="E86" s="9">
        <f>E85/12/C23</f>
        <v>11.015305309710127</v>
      </c>
      <c r="F86" s="8"/>
      <c r="G86" s="17">
        <f>G85/3/C23</f>
        <v>12.676657604209202</v>
      </c>
      <c r="H86" s="2"/>
      <c r="I86" s="8">
        <f>I85/3/C23</f>
        <v>10.305765816324937</v>
      </c>
      <c r="J86" s="119"/>
      <c r="K86" s="8">
        <f>K85/3/K23</f>
        <v>10.665374688124736</v>
      </c>
      <c r="L86" s="119"/>
      <c r="M86" s="8">
        <f>M85/3/K23</f>
        <v>10.388618409655683</v>
      </c>
    </row>
    <row r="87" spans="1:13" ht="12.75">
      <c r="A87" s="69" t="s">
        <v>20</v>
      </c>
      <c r="B87" s="70"/>
      <c r="C87" s="71">
        <f>C28-C85</f>
        <v>380690.70000000007</v>
      </c>
      <c r="D87" s="71"/>
      <c r="E87" s="71">
        <f>E28-E85</f>
        <v>-7741.569432399992</v>
      </c>
      <c r="F87" s="71"/>
      <c r="G87" s="18">
        <f>G28-G85</f>
        <v>-25271.970971200004</v>
      </c>
      <c r="H87" s="2"/>
      <c r="I87" s="7">
        <f>I28-I85-25272</f>
        <v>-15572.826280199995</v>
      </c>
      <c r="J87" s="119"/>
      <c r="K87" s="7">
        <f>K28-K85-15573</f>
        <v>-12448.73606879999</v>
      </c>
      <c r="L87" s="119"/>
      <c r="M87" s="7">
        <f>M28-M85-12449</f>
        <v>-7742.036112199989</v>
      </c>
    </row>
    <row r="88" spans="1:9" ht="12.75">
      <c r="A88" s="14" t="s">
        <v>24</v>
      </c>
      <c r="B88" s="14"/>
      <c r="C88" s="14"/>
      <c r="D88" s="14"/>
      <c r="E88" s="14"/>
      <c r="F88" s="14"/>
      <c r="G88" s="14"/>
      <c r="H88" s="14"/>
      <c r="I88" s="14"/>
    </row>
    <row r="89" spans="1:9" ht="12.75">
      <c r="A89" s="14" t="s">
        <v>25</v>
      </c>
      <c r="B89" s="14"/>
      <c r="C89" s="14"/>
      <c r="D89" s="14"/>
      <c r="E89" s="14"/>
      <c r="F89" s="14"/>
      <c r="G89" s="14"/>
      <c r="H89" s="14"/>
      <c r="I89" s="14"/>
    </row>
    <row r="90" spans="1:9" ht="11.25" customHeight="1">
      <c r="A90" s="14" t="s">
        <v>35</v>
      </c>
      <c r="B90" s="14"/>
      <c r="C90" s="14"/>
      <c r="D90" s="14"/>
      <c r="E90" s="14"/>
      <c r="F90" s="14"/>
      <c r="G90" s="14"/>
      <c r="H90" s="14"/>
      <c r="I90" s="14"/>
    </row>
    <row r="91" spans="1:6" ht="9.75" customHeight="1" hidden="1">
      <c r="A91" s="33"/>
      <c r="B91" s="33"/>
      <c r="C91" s="33"/>
      <c r="D91" s="33"/>
      <c r="E91" s="33"/>
      <c r="F91" s="33"/>
    </row>
    <row r="92" spans="1:6" ht="12.75" hidden="1">
      <c r="A92" s="33"/>
      <c r="B92" s="33"/>
      <c r="C92" s="33"/>
      <c r="D92" s="33"/>
      <c r="E92" s="33"/>
      <c r="F92" s="33"/>
    </row>
    <row r="93" spans="1:6" ht="12.75" hidden="1">
      <c r="A93" s="33"/>
      <c r="B93" s="33"/>
      <c r="C93" s="33"/>
      <c r="D93" s="33"/>
      <c r="E93" s="33"/>
      <c r="F93" s="33"/>
    </row>
    <row r="94" spans="1:6" ht="12.75" hidden="1">
      <c r="A94" s="33"/>
      <c r="B94" s="33"/>
      <c r="C94" s="33"/>
      <c r="D94" s="33"/>
      <c r="E94" s="33"/>
      <c r="F94" s="33"/>
    </row>
    <row r="95" spans="1:6" ht="12.75" hidden="1">
      <c r="A95" s="33"/>
      <c r="B95" s="33"/>
      <c r="C95" s="33"/>
      <c r="D95" s="33"/>
      <c r="E95" s="33"/>
      <c r="F95" s="33"/>
    </row>
    <row r="96" spans="1:13" ht="12.75">
      <c r="A96" s="31" t="s">
        <v>21</v>
      </c>
      <c r="B96" s="31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 ht="12.75">
      <c r="A97" s="14" t="s">
        <v>31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13" ht="12.75">
      <c r="A98" s="14" t="s">
        <v>41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13" ht="12.75">
      <c r="A99" s="14" t="s">
        <v>100</v>
      </c>
      <c r="B99" s="14"/>
      <c r="C99" s="14"/>
      <c r="D99" s="14"/>
      <c r="E99" s="14" t="s">
        <v>32</v>
      </c>
      <c r="F99" s="14"/>
      <c r="G99" s="14"/>
      <c r="H99" s="14"/>
      <c r="I99" s="14"/>
      <c r="J99" s="14"/>
      <c r="K99" s="14"/>
      <c r="L99" s="14"/>
      <c r="M99" s="14"/>
    </row>
    <row r="100" spans="1:13" ht="21.75" customHeight="1">
      <c r="A100" s="6" t="s">
        <v>0</v>
      </c>
      <c r="B100" s="151" t="s">
        <v>38</v>
      </c>
      <c r="C100" s="152"/>
      <c r="D100" s="149" t="s">
        <v>39</v>
      </c>
      <c r="E100" s="150"/>
      <c r="F100" s="149" t="s">
        <v>96</v>
      </c>
      <c r="G100" s="150"/>
      <c r="H100" s="149" t="s">
        <v>97</v>
      </c>
      <c r="I100" s="150"/>
      <c r="J100" s="149" t="s">
        <v>98</v>
      </c>
      <c r="K100" s="150"/>
      <c r="L100" s="149" t="s">
        <v>99</v>
      </c>
      <c r="M100" s="150"/>
    </row>
    <row r="101" spans="1:13" ht="12.75">
      <c r="A101" s="11" t="s">
        <v>5</v>
      </c>
      <c r="B101" s="153"/>
      <c r="C101" s="154"/>
      <c r="D101" s="6" t="s">
        <v>40</v>
      </c>
      <c r="E101" s="6" t="s">
        <v>22</v>
      </c>
      <c r="F101" s="6" t="s">
        <v>40</v>
      </c>
      <c r="G101" s="13" t="s">
        <v>22</v>
      </c>
      <c r="H101" s="2"/>
      <c r="I101" s="2"/>
      <c r="J101" s="2"/>
      <c r="K101" s="2"/>
      <c r="L101" s="2"/>
      <c r="M101" s="2"/>
    </row>
    <row r="102" spans="1:13" ht="12.75">
      <c r="A102" s="2" t="s">
        <v>1</v>
      </c>
      <c r="B102" s="2"/>
      <c r="C102" s="6">
        <v>9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 t="s">
        <v>2</v>
      </c>
      <c r="B103" s="2"/>
      <c r="C103" s="6">
        <v>4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 t="s">
        <v>3</v>
      </c>
      <c r="B104" s="2"/>
      <c r="C104" s="6">
        <v>109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 t="s">
        <v>85</v>
      </c>
      <c r="B105" s="2"/>
      <c r="C105" s="6">
        <v>7074.76</v>
      </c>
      <c r="D105" s="6"/>
      <c r="E105" s="2"/>
      <c r="F105" s="2"/>
      <c r="G105" s="6">
        <v>7074.76</v>
      </c>
      <c r="H105" s="2"/>
      <c r="I105" s="6">
        <v>7074.76</v>
      </c>
      <c r="J105" s="2"/>
      <c r="K105" s="6">
        <v>7081.69</v>
      </c>
      <c r="L105" s="2"/>
      <c r="M105" s="2"/>
    </row>
    <row r="106" spans="1:13" ht="21.75">
      <c r="A106" s="35" t="s">
        <v>6</v>
      </c>
      <c r="B106" s="11" t="s">
        <v>40</v>
      </c>
      <c r="C106" s="2" t="s">
        <v>22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22.5">
      <c r="A107" s="40" t="s">
        <v>7</v>
      </c>
      <c r="B107" s="3"/>
      <c r="C107" s="6"/>
      <c r="D107" s="6">
        <f>F107+H108+J108+L108</f>
        <v>0</v>
      </c>
      <c r="E107" s="4">
        <f>G107+I107+K107+M107</f>
        <v>828654.15</v>
      </c>
      <c r="F107" s="2"/>
      <c r="G107" s="2">
        <v>215535.1</v>
      </c>
      <c r="H107" s="2"/>
      <c r="I107" s="4">
        <v>219648</v>
      </c>
      <c r="J107" s="2"/>
      <c r="K107" s="98">
        <v>184448.44</v>
      </c>
      <c r="L107" s="2"/>
      <c r="M107" s="2">
        <v>209022.61</v>
      </c>
    </row>
    <row r="108" spans="1:13" ht="12.75">
      <c r="A108" s="41" t="s">
        <v>8</v>
      </c>
      <c r="B108" s="3"/>
      <c r="C108" s="6">
        <v>98416.17</v>
      </c>
      <c r="D108" s="1"/>
      <c r="E108" s="1"/>
      <c r="F108" s="1"/>
      <c r="G108" s="1"/>
      <c r="H108" s="2"/>
      <c r="I108" s="4"/>
      <c r="J108" s="2"/>
      <c r="K108" s="2"/>
      <c r="L108" s="2"/>
      <c r="M108" s="2"/>
    </row>
    <row r="109" spans="10:13" ht="12.75">
      <c r="J109" s="2"/>
      <c r="K109" s="2"/>
      <c r="L109" s="2"/>
      <c r="M109" s="2"/>
    </row>
    <row r="110" spans="1:13" ht="12.75">
      <c r="A110" s="2" t="s">
        <v>10</v>
      </c>
      <c r="B110" s="42"/>
      <c r="C110" s="11">
        <f>C108</f>
        <v>98416.17</v>
      </c>
      <c r="D110" s="11">
        <f>D107</f>
        <v>0</v>
      </c>
      <c r="E110" s="11">
        <f>E107</f>
        <v>828654.15</v>
      </c>
      <c r="F110" s="11">
        <f>F107</f>
        <v>0</v>
      </c>
      <c r="G110" s="11">
        <f>G107</f>
        <v>215535.1</v>
      </c>
      <c r="H110" s="11">
        <f>H108</f>
        <v>0</v>
      </c>
      <c r="I110" s="38">
        <f>SUM(I107:I109)</f>
        <v>219648</v>
      </c>
      <c r="J110" s="11">
        <f>J108</f>
        <v>0</v>
      </c>
      <c r="K110" s="38">
        <f>SUM(K107:K109)</f>
        <v>184448.44</v>
      </c>
      <c r="L110" s="11">
        <f>L108</f>
        <v>0</v>
      </c>
      <c r="M110" s="11">
        <f>SUM(M107:M109)</f>
        <v>209022.61</v>
      </c>
    </row>
    <row r="111" spans="1:13" ht="21.75">
      <c r="A111" s="35" t="s">
        <v>82</v>
      </c>
      <c r="B111" s="4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43" t="s">
        <v>11</v>
      </c>
      <c r="B112" s="44"/>
      <c r="C112" s="45"/>
      <c r="D112" s="45">
        <f>F112+H112+J112+L112</f>
        <v>0</v>
      </c>
      <c r="E112" s="7">
        <f>G112+I112+K112+M112</f>
        <v>230883.6679688</v>
      </c>
      <c r="F112" s="45"/>
      <c r="G112" s="45">
        <f>7.99407*C105</f>
        <v>56556.1266732</v>
      </c>
      <c r="H112" s="7"/>
      <c r="I112" s="7">
        <f>9.57707*C105</f>
        <v>67755.4717532</v>
      </c>
      <c r="J112" s="7"/>
      <c r="K112" s="7">
        <f>7.32829*K105</f>
        <v>51896.6780101</v>
      </c>
      <c r="L112" s="7"/>
      <c r="M112" s="15">
        <f>7.72067*K105</f>
        <v>54675.3915323</v>
      </c>
    </row>
    <row r="113" spans="1:13" ht="12.75">
      <c r="A113" s="43" t="s">
        <v>12</v>
      </c>
      <c r="B113" s="46"/>
      <c r="C113" s="7"/>
      <c r="D113" s="7"/>
      <c r="E113" s="7">
        <f aca="true" t="shared" si="3" ref="E113:E126">G113+I113+K113+M113</f>
        <v>0</v>
      </c>
      <c r="F113" s="7"/>
      <c r="G113" s="7"/>
      <c r="H113" s="7"/>
      <c r="I113" s="7"/>
      <c r="J113" s="7"/>
      <c r="K113" s="7"/>
      <c r="L113" s="7"/>
      <c r="M113" s="7"/>
    </row>
    <row r="114" spans="1:13" ht="12.75">
      <c r="A114" s="41" t="s">
        <v>13</v>
      </c>
      <c r="B114" s="46"/>
      <c r="C114" s="7"/>
      <c r="D114" s="7"/>
      <c r="E114" s="7">
        <f t="shared" si="3"/>
        <v>252348.7952397</v>
      </c>
      <c r="F114" s="7"/>
      <c r="G114" s="45">
        <f>G115+G117+G118+G119+G120+G121+G122+G123+G124+G125+G126</f>
        <v>59691.6863892</v>
      </c>
      <c r="H114" s="7"/>
      <c r="I114" s="7">
        <f>I115+I117+I118+I119+I120+I121+I122+I123+I124+I125+I126</f>
        <v>64926.580492400004</v>
      </c>
      <c r="J114" s="7"/>
      <c r="K114" s="7">
        <f>K115+K117+K118+K119+K120+K121+K122+K123+K124+K125+K126</f>
        <v>71756.1744481</v>
      </c>
      <c r="L114" s="7"/>
      <c r="M114" s="7">
        <f>M115+M117+M118+M119+M120+M121+M122+M123+M124+M125+M126</f>
        <v>55974.353910000005</v>
      </c>
    </row>
    <row r="115" spans="1:13" ht="12.75">
      <c r="A115" s="47" t="s">
        <v>14</v>
      </c>
      <c r="B115" s="46"/>
      <c r="C115" s="7"/>
      <c r="D115" s="7"/>
      <c r="E115" s="7">
        <f t="shared" si="3"/>
        <v>225466</v>
      </c>
      <c r="F115" s="7"/>
      <c r="G115" s="7">
        <v>54620</v>
      </c>
      <c r="H115" s="7"/>
      <c r="I115" s="7">
        <v>57598</v>
      </c>
      <c r="J115" s="7"/>
      <c r="K115" s="7">
        <v>60721</v>
      </c>
      <c r="L115" s="7"/>
      <c r="M115" s="15">
        <v>52527</v>
      </c>
    </row>
    <row r="116" spans="1:14" ht="12.75">
      <c r="A116" s="41" t="s">
        <v>19</v>
      </c>
      <c r="B116" s="46"/>
      <c r="C116" s="7"/>
      <c r="D116" s="7"/>
      <c r="E116" s="7">
        <f t="shared" si="3"/>
        <v>144335.88</v>
      </c>
      <c r="F116" s="7"/>
      <c r="G116" s="7">
        <v>36101.88</v>
      </c>
      <c r="H116" s="7"/>
      <c r="I116" s="7">
        <v>36102</v>
      </c>
      <c r="J116" s="7"/>
      <c r="K116" s="7">
        <v>36066</v>
      </c>
      <c r="L116" s="7"/>
      <c r="M116" s="15">
        <v>36066</v>
      </c>
      <c r="N116" s="147"/>
    </row>
    <row r="117" spans="1:13" ht="12.75">
      <c r="A117" s="41" t="s">
        <v>18</v>
      </c>
      <c r="B117" s="46"/>
      <c r="C117" s="7"/>
      <c r="D117" s="7"/>
      <c r="E117" s="7">
        <f t="shared" si="3"/>
        <v>2627.58</v>
      </c>
      <c r="F117" s="7"/>
      <c r="G117" s="7">
        <v>412.02</v>
      </c>
      <c r="H117" s="7"/>
      <c r="I117" s="7">
        <v>579.87</v>
      </c>
      <c r="J117" s="7"/>
      <c r="K117" s="7">
        <v>785.22</v>
      </c>
      <c r="L117" s="7"/>
      <c r="M117" s="15">
        <v>850.47</v>
      </c>
    </row>
    <row r="118" spans="1:13" ht="12.75">
      <c r="A118" s="41" t="s">
        <v>53</v>
      </c>
      <c r="B118" s="46"/>
      <c r="C118" s="7"/>
      <c r="D118" s="7"/>
      <c r="E118" s="7">
        <f t="shared" si="3"/>
        <v>13618.0477587</v>
      </c>
      <c r="F118" s="7"/>
      <c r="G118" s="7">
        <f>0.54857*C105</f>
        <v>3881.0010932</v>
      </c>
      <c r="H118" s="7"/>
      <c r="I118" s="7">
        <f>0.53049*C105</f>
        <v>3753.0894324</v>
      </c>
      <c r="J118" s="7"/>
      <c r="K118" s="7">
        <f>0.60599*K105</f>
        <v>4291.4333231</v>
      </c>
      <c r="L118" s="7"/>
      <c r="M118" s="15">
        <f>0.239*K105</f>
        <v>1692.52391</v>
      </c>
    </row>
    <row r="119" spans="1:13" ht="12.75">
      <c r="A119" s="41" t="s">
        <v>136</v>
      </c>
      <c r="B119" s="46"/>
      <c r="C119" s="7"/>
      <c r="D119" s="7"/>
      <c r="E119" s="7">
        <f t="shared" si="3"/>
        <v>1480</v>
      </c>
      <c r="F119" s="7"/>
      <c r="G119" s="7">
        <v>640</v>
      </c>
      <c r="H119" s="7"/>
      <c r="I119" s="15">
        <v>450</v>
      </c>
      <c r="J119" s="7"/>
      <c r="K119" s="7">
        <v>390</v>
      </c>
      <c r="L119" s="7"/>
      <c r="M119" s="7"/>
    </row>
    <row r="120" spans="1:13" ht="12.75">
      <c r="A120" s="41" t="s">
        <v>27</v>
      </c>
      <c r="B120" s="46"/>
      <c r="C120" s="7"/>
      <c r="D120" s="7"/>
      <c r="E120" s="7">
        <f t="shared" si="3"/>
        <v>680</v>
      </c>
      <c r="F120" s="7"/>
      <c r="G120" s="7"/>
      <c r="H120" s="7"/>
      <c r="I120" s="7">
        <v>680</v>
      </c>
      <c r="J120" s="15"/>
      <c r="K120" s="7"/>
      <c r="L120" s="7"/>
      <c r="M120" s="7"/>
    </row>
    <row r="121" spans="1:13" ht="12.75">
      <c r="A121" s="41" t="s">
        <v>36</v>
      </c>
      <c r="B121" s="46"/>
      <c r="C121" s="7"/>
      <c r="D121" s="7"/>
      <c r="E121" s="7">
        <f t="shared" si="3"/>
        <v>7765.36</v>
      </c>
      <c r="F121" s="7"/>
      <c r="G121" s="7"/>
      <c r="H121" s="7" t="s">
        <v>210</v>
      </c>
      <c r="I121" s="15">
        <v>1381</v>
      </c>
      <c r="J121" s="7" t="s">
        <v>287</v>
      </c>
      <c r="K121" s="7">
        <v>5480</v>
      </c>
      <c r="L121" s="7" t="s">
        <v>397</v>
      </c>
      <c r="M121" s="15">
        <v>904.36</v>
      </c>
    </row>
    <row r="122" spans="1:13" ht="12.75">
      <c r="A122" s="41" t="s">
        <v>58</v>
      </c>
      <c r="B122" s="46"/>
      <c r="C122" s="7"/>
      <c r="D122" s="7"/>
      <c r="E122" s="7">
        <f t="shared" si="3"/>
        <v>0</v>
      </c>
      <c r="F122" s="7"/>
      <c r="G122" s="7"/>
      <c r="H122" s="7"/>
      <c r="I122" s="7"/>
      <c r="J122" s="7"/>
      <c r="K122" s="7"/>
      <c r="L122" s="7"/>
      <c r="M122" s="7"/>
    </row>
    <row r="123" spans="1:13" ht="12.75">
      <c r="A123" s="41" t="s">
        <v>43</v>
      </c>
      <c r="B123" s="46"/>
      <c r="C123" s="7"/>
      <c r="D123" s="7"/>
      <c r="E123" s="7">
        <f t="shared" si="3"/>
        <v>0</v>
      </c>
      <c r="F123" s="7"/>
      <c r="G123" s="7"/>
      <c r="H123" s="7"/>
      <c r="I123" s="7"/>
      <c r="J123" s="7"/>
      <c r="K123" s="7"/>
      <c r="L123" s="7"/>
      <c r="M123" s="7"/>
    </row>
    <row r="124" spans="1:13" ht="12.75">
      <c r="A124" s="41" t="s">
        <v>30</v>
      </c>
      <c r="B124" s="44"/>
      <c r="C124" s="45"/>
      <c r="D124" s="45"/>
      <c r="E124" s="7">
        <f t="shared" si="3"/>
        <v>0</v>
      </c>
      <c r="F124" s="45"/>
      <c r="G124" s="7"/>
      <c r="H124" s="7"/>
      <c r="I124" s="7"/>
      <c r="J124" s="7"/>
      <c r="K124" s="7"/>
      <c r="L124" s="7"/>
      <c r="M124" s="7"/>
    </row>
    <row r="125" spans="1:13" ht="12.75">
      <c r="A125" s="41" t="s">
        <v>54</v>
      </c>
      <c r="B125" s="46"/>
      <c r="C125" s="7"/>
      <c r="D125" s="45"/>
      <c r="E125" s="7">
        <f t="shared" si="3"/>
        <v>138.665296</v>
      </c>
      <c r="F125" s="7"/>
      <c r="G125" s="7">
        <f>0.0196*C105</f>
        <v>138.665296</v>
      </c>
      <c r="H125" s="7"/>
      <c r="I125" s="7"/>
      <c r="J125" s="7"/>
      <c r="K125" s="7"/>
      <c r="L125" s="7"/>
      <c r="M125" s="7"/>
    </row>
    <row r="126" spans="1:13" ht="13.5" thickBot="1">
      <c r="A126" s="48" t="s">
        <v>55</v>
      </c>
      <c r="B126" s="49"/>
      <c r="C126" s="50"/>
      <c r="D126" s="50"/>
      <c r="E126" s="7">
        <f t="shared" si="3"/>
        <v>573.142185</v>
      </c>
      <c r="F126" s="50"/>
      <c r="G126" s="50"/>
      <c r="H126" s="50"/>
      <c r="I126" s="50">
        <f>0.0685*C105</f>
        <v>484.62106000000006</v>
      </c>
      <c r="J126" s="50"/>
      <c r="K126" s="50">
        <f>0.0125*K105</f>
        <v>88.521125</v>
      </c>
      <c r="L126" s="50"/>
      <c r="M126" s="50"/>
    </row>
    <row r="127" spans="1:13" ht="13.5" thickBot="1">
      <c r="A127" s="51" t="s">
        <v>76</v>
      </c>
      <c r="B127" s="81"/>
      <c r="C127" s="63"/>
      <c r="D127" s="63"/>
      <c r="E127" s="53">
        <f>E112+E114</f>
        <v>483232.4632085</v>
      </c>
      <c r="F127" s="63"/>
      <c r="G127" s="53">
        <f>G112+G114</f>
        <v>116247.8130624</v>
      </c>
      <c r="H127" s="63"/>
      <c r="I127" s="63">
        <f>I112+I114</f>
        <v>132682.0522456</v>
      </c>
      <c r="J127" s="63"/>
      <c r="K127" s="63">
        <f>K112+K114</f>
        <v>123652.85245820001</v>
      </c>
      <c r="L127" s="63"/>
      <c r="M127" s="29">
        <f>M112+M114</f>
        <v>110649.7454423</v>
      </c>
    </row>
    <row r="128" spans="1:13" ht="13.5" customHeight="1">
      <c r="A128" s="54" t="s">
        <v>15</v>
      </c>
      <c r="B128" s="61"/>
      <c r="C128" s="56"/>
      <c r="D128" s="10"/>
      <c r="E128" s="56">
        <f aca="true" t="shared" si="4" ref="E128:E160">G128+I128+K128+M128</f>
        <v>0</v>
      </c>
      <c r="F128" s="56"/>
      <c r="G128" s="56"/>
      <c r="H128" s="56"/>
      <c r="I128" s="56"/>
      <c r="J128" s="56"/>
      <c r="K128" s="56"/>
      <c r="L128" s="56"/>
      <c r="M128" s="56"/>
    </row>
    <row r="129" spans="1:13" ht="12.75">
      <c r="A129" s="41" t="s">
        <v>17</v>
      </c>
      <c r="B129" s="46"/>
      <c r="C129" s="7"/>
      <c r="D129" s="7"/>
      <c r="E129" s="7">
        <f t="shared" si="4"/>
        <v>200064.3270395</v>
      </c>
      <c r="F129" s="15"/>
      <c r="G129" s="76">
        <f>6.73321*C105</f>
        <v>47635.8447796</v>
      </c>
      <c r="H129" s="7"/>
      <c r="I129" s="7">
        <f>7.02207*C105</f>
        <v>49679.45995320001</v>
      </c>
      <c r="J129" s="7"/>
      <c r="K129" s="7">
        <f>7.2754*C105</f>
        <v>51471.70890400001</v>
      </c>
      <c r="L129" s="7"/>
      <c r="M129" s="15">
        <f>7.24083*K105</f>
        <v>51277.3134027</v>
      </c>
    </row>
    <row r="130" spans="1:13" ht="12.75">
      <c r="A130" s="41" t="s">
        <v>388</v>
      </c>
      <c r="B130" s="46"/>
      <c r="C130" s="7"/>
      <c r="D130" s="7"/>
      <c r="E130" s="7">
        <f t="shared" si="4"/>
        <v>6750.8</v>
      </c>
      <c r="F130" s="7"/>
      <c r="G130" s="7">
        <v>580</v>
      </c>
      <c r="H130" s="7"/>
      <c r="I130" s="7"/>
      <c r="J130" s="7"/>
      <c r="K130" s="7">
        <v>3670.8</v>
      </c>
      <c r="L130" s="7"/>
      <c r="M130" s="15">
        <v>2500</v>
      </c>
    </row>
    <row r="131" spans="1:13" ht="12.75">
      <c r="A131" s="41" t="s">
        <v>67</v>
      </c>
      <c r="B131" s="46"/>
      <c r="C131" s="7"/>
      <c r="D131" s="7"/>
      <c r="E131" s="7">
        <f t="shared" si="4"/>
        <v>29694.5</v>
      </c>
      <c r="F131" s="7"/>
      <c r="G131" s="7">
        <v>7768</v>
      </c>
      <c r="H131" s="7"/>
      <c r="I131" s="7">
        <v>4274</v>
      </c>
      <c r="J131" s="7"/>
      <c r="K131" s="7">
        <v>2800</v>
      </c>
      <c r="L131" s="7"/>
      <c r="M131" s="15">
        <v>14852.5</v>
      </c>
    </row>
    <row r="132" spans="1:13" ht="12.75">
      <c r="A132" s="41" t="s">
        <v>68</v>
      </c>
      <c r="B132" s="46"/>
      <c r="C132" s="7"/>
      <c r="D132" s="7"/>
      <c r="E132" s="7">
        <f t="shared" si="4"/>
        <v>480</v>
      </c>
      <c r="F132" s="7"/>
      <c r="G132" s="7"/>
      <c r="H132" s="7"/>
      <c r="I132" s="7">
        <v>440</v>
      </c>
      <c r="J132" s="7"/>
      <c r="K132" s="7"/>
      <c r="L132" s="7"/>
      <c r="M132" s="15">
        <v>40</v>
      </c>
    </row>
    <row r="133" spans="1:13" ht="12.75">
      <c r="A133" s="41" t="s">
        <v>69</v>
      </c>
      <c r="B133" s="46"/>
      <c r="C133" s="7"/>
      <c r="D133" s="7"/>
      <c r="E133" s="7">
        <f t="shared" si="4"/>
        <v>2573</v>
      </c>
      <c r="F133" s="7"/>
      <c r="G133" s="7"/>
      <c r="H133" s="7"/>
      <c r="I133" s="7">
        <v>2573</v>
      </c>
      <c r="J133" s="7"/>
      <c r="K133" s="7"/>
      <c r="L133" s="7"/>
      <c r="M133" s="7"/>
    </row>
    <row r="134" spans="1:13" ht="12.75">
      <c r="A134" s="41" t="s">
        <v>26</v>
      </c>
      <c r="B134" s="46"/>
      <c r="C134" s="7"/>
      <c r="D134" s="7"/>
      <c r="E134" s="7">
        <f t="shared" si="4"/>
        <v>10561</v>
      </c>
      <c r="F134" s="7"/>
      <c r="G134" s="7">
        <v>755</v>
      </c>
      <c r="H134" s="7"/>
      <c r="I134" s="7">
        <v>4457</v>
      </c>
      <c r="J134" s="7"/>
      <c r="K134" s="7"/>
      <c r="L134" s="7"/>
      <c r="M134" s="15">
        <v>5349</v>
      </c>
    </row>
    <row r="135" spans="1:13" ht="12.75">
      <c r="A135" s="41" t="s">
        <v>28</v>
      </c>
      <c r="B135" s="46"/>
      <c r="C135" s="7"/>
      <c r="D135" s="7"/>
      <c r="E135" s="7">
        <f t="shared" si="4"/>
        <v>15166.5</v>
      </c>
      <c r="F135" s="7"/>
      <c r="G135" s="7"/>
      <c r="H135" s="7"/>
      <c r="I135" s="7"/>
      <c r="J135" s="7"/>
      <c r="K135" s="7">
        <v>5080</v>
      </c>
      <c r="L135" s="7"/>
      <c r="M135" s="15">
        <v>10086.5</v>
      </c>
    </row>
    <row r="136" spans="1:13" ht="12.75">
      <c r="A136" s="41" t="s">
        <v>60</v>
      </c>
      <c r="B136" s="46"/>
      <c r="C136" s="7"/>
      <c r="D136" s="6"/>
      <c r="E136" s="7">
        <f t="shared" si="4"/>
        <v>0</v>
      </c>
      <c r="F136" s="7"/>
      <c r="G136" s="7"/>
      <c r="H136" s="7"/>
      <c r="I136" s="7"/>
      <c r="J136" s="7"/>
      <c r="K136" s="7"/>
      <c r="L136" s="7"/>
      <c r="M136" s="7"/>
    </row>
    <row r="137" spans="1:13" ht="12.75">
      <c r="A137" s="41" t="s">
        <v>75</v>
      </c>
      <c r="B137" s="46"/>
      <c r="C137" s="7"/>
      <c r="D137" s="7"/>
      <c r="E137" s="7">
        <f t="shared" si="4"/>
        <v>51892</v>
      </c>
      <c r="F137" s="7"/>
      <c r="G137" s="7">
        <v>51892</v>
      </c>
      <c r="H137" s="7"/>
      <c r="I137" s="7"/>
      <c r="J137" s="7"/>
      <c r="K137" s="7"/>
      <c r="L137" s="7"/>
      <c r="M137" s="7"/>
    </row>
    <row r="138" spans="1:13" ht="12.75">
      <c r="A138" s="41" t="s">
        <v>389</v>
      </c>
      <c r="B138" s="46"/>
      <c r="C138" s="7"/>
      <c r="D138" s="6"/>
      <c r="E138" s="7">
        <f t="shared" si="4"/>
        <v>2208</v>
      </c>
      <c r="F138" s="7"/>
      <c r="G138" s="7"/>
      <c r="H138" s="7"/>
      <c r="I138" s="7"/>
      <c r="J138" s="7"/>
      <c r="K138" s="7">
        <v>1188</v>
      </c>
      <c r="L138" s="7"/>
      <c r="M138" s="15">
        <v>1020</v>
      </c>
    </row>
    <row r="139" spans="1:13" ht="12.75">
      <c r="A139" s="41" t="s">
        <v>398</v>
      </c>
      <c r="B139" s="46"/>
      <c r="C139" s="7"/>
      <c r="D139" s="7"/>
      <c r="E139" s="7">
        <f t="shared" si="4"/>
        <v>844</v>
      </c>
      <c r="F139" s="7"/>
      <c r="G139" s="7"/>
      <c r="H139" s="7"/>
      <c r="I139" s="7"/>
      <c r="J139" s="7"/>
      <c r="K139" s="7"/>
      <c r="L139" s="7"/>
      <c r="M139" s="15">
        <v>844</v>
      </c>
    </row>
    <row r="140" spans="1:13" ht="12.75">
      <c r="A140" s="41" t="s">
        <v>137</v>
      </c>
      <c r="B140" s="46"/>
      <c r="C140" s="7"/>
      <c r="D140" s="7"/>
      <c r="E140" s="7">
        <f t="shared" si="4"/>
        <v>580</v>
      </c>
      <c r="F140" s="7"/>
      <c r="G140" s="7">
        <v>580</v>
      </c>
      <c r="H140" s="7"/>
      <c r="I140" s="7"/>
      <c r="J140" s="7"/>
      <c r="K140" s="7"/>
      <c r="L140" s="7"/>
      <c r="M140" s="7"/>
    </row>
    <row r="141" spans="1:13" ht="12.75">
      <c r="A141" s="41" t="s">
        <v>51</v>
      </c>
      <c r="B141" s="46"/>
      <c r="C141" s="7"/>
      <c r="D141" s="7"/>
      <c r="E141" s="7">
        <f t="shared" si="4"/>
        <v>2763.24</v>
      </c>
      <c r="F141" s="7"/>
      <c r="G141" s="7"/>
      <c r="H141" s="7"/>
      <c r="I141" s="7">
        <v>2763.24</v>
      </c>
      <c r="J141" s="7"/>
      <c r="K141" s="7"/>
      <c r="L141" s="7"/>
      <c r="M141" s="7"/>
    </row>
    <row r="142" spans="1:13" ht="12.75">
      <c r="A142" s="58" t="s">
        <v>52</v>
      </c>
      <c r="B142" s="46"/>
      <c r="C142" s="7"/>
      <c r="D142" s="7"/>
      <c r="E142" s="7">
        <f t="shared" si="4"/>
        <v>0</v>
      </c>
      <c r="F142" s="7"/>
      <c r="G142" s="7"/>
      <c r="H142" s="7"/>
      <c r="I142" s="7"/>
      <c r="J142" s="7"/>
      <c r="K142" s="7"/>
      <c r="L142" s="7"/>
      <c r="M142" s="7"/>
    </row>
    <row r="143" spans="1:13" ht="12.75">
      <c r="A143" s="58" t="s">
        <v>387</v>
      </c>
      <c r="B143" s="46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15">
        <v>8886.2</v>
      </c>
    </row>
    <row r="144" spans="1:13" ht="12.75">
      <c r="A144" s="41" t="s">
        <v>80</v>
      </c>
      <c r="B144" s="46"/>
      <c r="C144" s="7"/>
      <c r="D144" s="7"/>
      <c r="E144" s="7">
        <f t="shared" si="4"/>
        <v>0</v>
      </c>
      <c r="F144" s="7"/>
      <c r="G144" s="7"/>
      <c r="H144" s="7"/>
      <c r="I144" s="7"/>
      <c r="J144" s="7"/>
      <c r="K144" s="7"/>
      <c r="L144" s="7"/>
      <c r="M144" s="7"/>
    </row>
    <row r="145" spans="1:13" ht="12.75">
      <c r="A145" s="41" t="s">
        <v>250</v>
      </c>
      <c r="B145" s="46"/>
      <c r="C145" s="7"/>
      <c r="D145" s="7"/>
      <c r="E145" s="7">
        <f t="shared" si="4"/>
        <v>1803</v>
      </c>
      <c r="F145" s="7"/>
      <c r="G145" s="7"/>
      <c r="H145" s="7"/>
      <c r="I145" s="7"/>
      <c r="J145" s="7"/>
      <c r="K145" s="7">
        <v>1803</v>
      </c>
      <c r="L145" s="7"/>
      <c r="M145" s="7"/>
    </row>
    <row r="146" spans="1:13" ht="12.75">
      <c r="A146" s="41" t="s">
        <v>88</v>
      </c>
      <c r="B146" s="46"/>
      <c r="C146" s="7"/>
      <c r="D146" s="7"/>
      <c r="E146" s="7">
        <f t="shared" si="4"/>
        <v>50.230796000000005</v>
      </c>
      <c r="F146" s="7"/>
      <c r="G146" s="7"/>
      <c r="H146" s="7"/>
      <c r="I146" s="7">
        <f>0.0071*C105</f>
        <v>50.230796000000005</v>
      </c>
      <c r="J146" s="7"/>
      <c r="K146" s="7"/>
      <c r="L146" s="7"/>
      <c r="M146" s="7"/>
    </row>
    <row r="147" spans="1:13" ht="12.75">
      <c r="A147" s="41" t="s">
        <v>33</v>
      </c>
      <c r="B147" s="46"/>
      <c r="C147" s="7"/>
      <c r="D147" s="7"/>
      <c r="E147" s="7">
        <f t="shared" si="4"/>
        <v>20665.77</v>
      </c>
      <c r="F147" s="7"/>
      <c r="G147" s="7"/>
      <c r="H147" s="7"/>
      <c r="I147" s="7"/>
      <c r="J147" s="7"/>
      <c r="K147" s="7">
        <v>18741</v>
      </c>
      <c r="L147" s="7"/>
      <c r="M147" s="15">
        <v>1924.77</v>
      </c>
    </row>
    <row r="148" spans="1:13" ht="12.75">
      <c r="A148" s="41" t="s">
        <v>50</v>
      </c>
      <c r="B148" s="44"/>
      <c r="C148" s="45"/>
      <c r="D148" s="45"/>
      <c r="E148" s="7">
        <f t="shared" si="4"/>
        <v>7758.642815000001</v>
      </c>
      <c r="F148" s="45"/>
      <c r="G148" s="7">
        <f>0.2455*C105</f>
        <v>1736.85358</v>
      </c>
      <c r="H148" s="7"/>
      <c r="I148" s="7">
        <f>0.5802*C105</f>
        <v>4104.7757520000005</v>
      </c>
      <c r="J148" s="7"/>
      <c r="K148" s="7">
        <f>0.1437*K105</f>
        <v>1017.6388529999999</v>
      </c>
      <c r="L148" s="7"/>
      <c r="M148" s="15">
        <f>0.127*K105</f>
        <v>899.3746299999999</v>
      </c>
    </row>
    <row r="149" spans="1:13" ht="13.5" thickBot="1">
      <c r="A149" s="48" t="s">
        <v>54</v>
      </c>
      <c r="B149" s="49"/>
      <c r="C149" s="50"/>
      <c r="D149" s="50"/>
      <c r="E149" s="7">
        <f t="shared" si="4"/>
        <v>218.06199799999996</v>
      </c>
      <c r="F149" s="50"/>
      <c r="G149" s="50"/>
      <c r="H149" s="50"/>
      <c r="I149" s="50">
        <f>0.0078*C105</f>
        <v>55.183127999999996</v>
      </c>
      <c r="J149" s="50"/>
      <c r="K149" s="50">
        <f>0.011*K105</f>
        <v>77.89858999999998</v>
      </c>
      <c r="L149" s="50"/>
      <c r="M149" s="24">
        <f>0.012*K105</f>
        <v>84.98028</v>
      </c>
    </row>
    <row r="150" spans="1:13" ht="13.5" thickBot="1">
      <c r="A150" s="59" t="s">
        <v>10</v>
      </c>
      <c r="B150" s="81"/>
      <c r="C150" s="63"/>
      <c r="D150" s="63"/>
      <c r="E150" s="53">
        <f t="shared" si="4"/>
        <v>362959.27264850005</v>
      </c>
      <c r="F150" s="63"/>
      <c r="G150" s="53">
        <f>SUM(G129:G149)</f>
        <v>110947.69835959999</v>
      </c>
      <c r="H150" s="63"/>
      <c r="I150" s="63">
        <f>SUM(I129:I149)</f>
        <v>68396.88962920001</v>
      </c>
      <c r="J150" s="63"/>
      <c r="K150" s="63">
        <f>SUM(K129:K149)</f>
        <v>85850.04634700001</v>
      </c>
      <c r="L150" s="63"/>
      <c r="M150" s="29">
        <f>SUM(M129:M149)</f>
        <v>97764.63831270002</v>
      </c>
    </row>
    <row r="151" spans="1:13" ht="12.75">
      <c r="A151" s="60" t="s">
        <v>42</v>
      </c>
      <c r="B151" s="61"/>
      <c r="C151" s="56"/>
      <c r="D151" s="56"/>
      <c r="E151" s="56">
        <f t="shared" si="4"/>
        <v>0</v>
      </c>
      <c r="F151" s="56"/>
      <c r="G151" s="56"/>
      <c r="H151" s="56"/>
      <c r="I151" s="56"/>
      <c r="J151" s="56"/>
      <c r="K151" s="56"/>
      <c r="L151" s="56"/>
      <c r="M151" s="56"/>
    </row>
    <row r="152" spans="1:13" ht="12.75">
      <c r="A152" s="74" t="s">
        <v>211</v>
      </c>
      <c r="B152" s="61"/>
      <c r="C152" s="56"/>
      <c r="D152" s="56"/>
      <c r="E152" s="56">
        <f aca="true" t="shared" si="5" ref="E152:E158">G152+I152+K152+M152</f>
        <v>4560</v>
      </c>
      <c r="F152" s="56"/>
      <c r="G152" s="56"/>
      <c r="H152" s="56"/>
      <c r="I152" s="56">
        <v>4560</v>
      </c>
      <c r="J152" s="56"/>
      <c r="K152" s="56"/>
      <c r="L152" s="56"/>
      <c r="M152" s="56"/>
    </row>
    <row r="153" spans="1:13" ht="12.75">
      <c r="A153" s="41" t="s">
        <v>56</v>
      </c>
      <c r="B153" s="46"/>
      <c r="C153" s="7"/>
      <c r="D153" s="7"/>
      <c r="E153" s="56">
        <f t="shared" si="5"/>
        <v>0</v>
      </c>
      <c r="F153" s="7"/>
      <c r="G153" s="7"/>
      <c r="H153" s="7"/>
      <c r="I153" s="7"/>
      <c r="J153" s="7"/>
      <c r="K153" s="7"/>
      <c r="L153" s="7"/>
      <c r="M153" s="7"/>
    </row>
    <row r="154" spans="1:13" ht="12.75">
      <c r="A154" s="41" t="s">
        <v>89</v>
      </c>
      <c r="B154" s="46"/>
      <c r="C154" s="7"/>
      <c r="D154" s="7"/>
      <c r="E154" s="56">
        <f t="shared" si="5"/>
        <v>2431</v>
      </c>
      <c r="F154" s="7"/>
      <c r="G154" s="7">
        <v>530</v>
      </c>
      <c r="H154" s="7"/>
      <c r="I154" s="7">
        <v>630</v>
      </c>
      <c r="J154" s="7"/>
      <c r="K154" s="7">
        <v>113</v>
      </c>
      <c r="L154" s="7"/>
      <c r="M154" s="15">
        <v>1158</v>
      </c>
    </row>
    <row r="155" spans="1:13" ht="12.75">
      <c r="A155" s="41" t="s">
        <v>16</v>
      </c>
      <c r="B155" s="46"/>
      <c r="C155" s="7"/>
      <c r="D155" s="7"/>
      <c r="E155" s="56">
        <f t="shared" si="5"/>
        <v>252.75465599999998</v>
      </c>
      <c r="F155" s="7"/>
      <c r="G155" s="18">
        <f>0.0089*C105</f>
        <v>62.965364</v>
      </c>
      <c r="H155" s="7"/>
      <c r="I155" s="7"/>
      <c r="J155" s="7"/>
      <c r="K155" s="7"/>
      <c r="L155" s="7"/>
      <c r="M155" s="15">
        <f>0.0268*K105</f>
        <v>189.789292</v>
      </c>
    </row>
    <row r="156" spans="1:13" ht="12.75">
      <c r="A156" s="41" t="s">
        <v>288</v>
      </c>
      <c r="B156" s="49"/>
      <c r="C156" s="50"/>
      <c r="D156" s="50"/>
      <c r="E156" s="56">
        <f t="shared" si="5"/>
        <v>1206</v>
      </c>
      <c r="F156" s="50"/>
      <c r="G156" s="23"/>
      <c r="H156" s="50"/>
      <c r="I156" s="50"/>
      <c r="J156" s="50"/>
      <c r="K156" s="50">
        <v>1206</v>
      </c>
      <c r="L156" s="50"/>
      <c r="M156" s="50"/>
    </row>
    <row r="157" spans="1:13" ht="12.75">
      <c r="A157" s="41" t="s">
        <v>382</v>
      </c>
      <c r="B157" s="49"/>
      <c r="C157" s="50"/>
      <c r="D157" s="50"/>
      <c r="E157" s="56"/>
      <c r="F157" s="50"/>
      <c r="G157" s="23"/>
      <c r="H157" s="50"/>
      <c r="I157" s="50"/>
      <c r="J157" s="50"/>
      <c r="K157" s="50"/>
      <c r="L157" s="50"/>
      <c r="M157" s="24">
        <v>267.2</v>
      </c>
    </row>
    <row r="158" spans="1:13" ht="13.5" thickBot="1">
      <c r="A158" s="48" t="s">
        <v>93</v>
      </c>
      <c r="B158" s="49"/>
      <c r="C158" s="50"/>
      <c r="D158" s="50"/>
      <c r="E158" s="56">
        <f t="shared" si="5"/>
        <v>15120</v>
      </c>
      <c r="F158" s="50"/>
      <c r="G158" s="50">
        <v>4320</v>
      </c>
      <c r="H158" s="50"/>
      <c r="I158" s="50">
        <v>10800</v>
      </c>
      <c r="J158" s="50"/>
      <c r="K158" s="50"/>
      <c r="L158" s="50"/>
      <c r="M158" s="50"/>
    </row>
    <row r="159" spans="1:13" ht="13.5" thickBot="1">
      <c r="A159" s="62" t="s">
        <v>10</v>
      </c>
      <c r="B159" s="81"/>
      <c r="C159" s="63"/>
      <c r="D159" s="63"/>
      <c r="E159" s="63">
        <f t="shared" si="4"/>
        <v>23836.954655999998</v>
      </c>
      <c r="F159" s="63"/>
      <c r="G159" s="63">
        <f>SUM(G154:G158)</f>
        <v>4912.965364</v>
      </c>
      <c r="H159" s="63"/>
      <c r="I159" s="63">
        <f>SUM(I152:I158)</f>
        <v>15990</v>
      </c>
      <c r="J159" s="63"/>
      <c r="K159" s="63">
        <f>SUM(K152:K158)</f>
        <v>1319</v>
      </c>
      <c r="L159" s="63"/>
      <c r="M159" s="29">
        <f>SUM(M152:M158)</f>
        <v>1614.989292</v>
      </c>
    </row>
    <row r="160" spans="1:13" ht="13.5" thickBot="1">
      <c r="A160" s="64" t="s">
        <v>29</v>
      </c>
      <c r="B160" s="52"/>
      <c r="C160" s="53"/>
      <c r="D160" s="53"/>
      <c r="E160" s="63">
        <f t="shared" si="4"/>
        <v>16229.117212</v>
      </c>
      <c r="F160" s="53"/>
      <c r="G160" s="63">
        <f>0.4236*C105</f>
        <v>2996.868336</v>
      </c>
      <c r="H160" s="63"/>
      <c r="I160" s="63">
        <f>0.5971*C105</f>
        <v>4224.339196</v>
      </c>
      <c r="J160" s="63"/>
      <c r="K160" s="63">
        <v>0</v>
      </c>
      <c r="L160" s="63"/>
      <c r="M160" s="134">
        <f>1.272*K105</f>
        <v>9007.909679999999</v>
      </c>
    </row>
    <row r="161" spans="1:13" ht="21.75">
      <c r="A161" s="65" t="s">
        <v>83</v>
      </c>
      <c r="B161" s="55"/>
      <c r="C161" s="66"/>
      <c r="D161" s="56"/>
      <c r="E161" s="56">
        <f>E127+E150+E159+E160</f>
        <v>886257.8077250001</v>
      </c>
      <c r="F161" s="56"/>
      <c r="G161" s="56">
        <f>G127+G150+G159+G160</f>
        <v>235105.34512200003</v>
      </c>
      <c r="H161" s="56"/>
      <c r="I161" s="56">
        <f>I127+I150+I159+I160</f>
        <v>221293.2810708</v>
      </c>
      <c r="J161" s="56"/>
      <c r="K161" s="56">
        <f>K127+K150+K159+K160</f>
        <v>210821.8988052</v>
      </c>
      <c r="L161" s="56"/>
      <c r="M161" s="56">
        <f>M127+M150+M159+M160</f>
        <v>219037.28272700004</v>
      </c>
    </row>
    <row r="162" spans="1:13" ht="33.75">
      <c r="A162" s="67" t="s">
        <v>84</v>
      </c>
      <c r="B162" s="44"/>
      <c r="C162" s="45"/>
      <c r="D162" s="45"/>
      <c r="E162" s="38">
        <f>E161/12/C105</f>
        <v>10.43919755729052</v>
      </c>
      <c r="F162" s="45"/>
      <c r="G162" s="8">
        <f>G161/3/C105</f>
        <v>11.077188254301207</v>
      </c>
      <c r="H162" s="7"/>
      <c r="I162" s="8">
        <f>I161/3/C105</f>
        <v>10.42642111161368</v>
      </c>
      <c r="J162" s="7"/>
      <c r="K162" s="8">
        <f>K161/3/K105</f>
        <v>9.9233327452063</v>
      </c>
      <c r="L162" s="7"/>
      <c r="M162" s="8">
        <f>M161/3/K105</f>
        <v>10.310028760884292</v>
      </c>
    </row>
    <row r="163" spans="1:13" ht="12.75">
      <c r="A163" s="69" t="s">
        <v>20</v>
      </c>
      <c r="B163" s="78"/>
      <c r="C163" s="9"/>
      <c r="D163" s="9"/>
      <c r="E163" s="71">
        <f>E110-E161</f>
        <v>-57603.657725000056</v>
      </c>
      <c r="F163" s="71"/>
      <c r="G163" s="7">
        <f>G110-G161</f>
        <v>-19570.245122000022</v>
      </c>
      <c r="H163" s="7"/>
      <c r="I163" s="7">
        <f>I110-I161-19570</f>
        <v>-21215.281070800003</v>
      </c>
      <c r="J163" s="7"/>
      <c r="K163" s="7">
        <f>K110-K161-21215</f>
        <v>-47588.4588052</v>
      </c>
      <c r="L163" s="7"/>
      <c r="M163" s="7">
        <f>M110-M161-47588</f>
        <v>-57602.672727000056</v>
      </c>
    </row>
    <row r="164" spans="1:13" ht="12.75" hidden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1:13" ht="12.75" hidden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1:13" ht="12.75">
      <c r="A166" s="14" t="s">
        <v>24</v>
      </c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1:13" ht="12.75">
      <c r="A167" s="14" t="s">
        <v>25</v>
      </c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1:13" ht="12.75">
      <c r="A168" s="14" t="s">
        <v>35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1:13" ht="175.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1:13" ht="12.75">
      <c r="A170" s="31" t="s">
        <v>21</v>
      </c>
      <c r="B170" s="31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1:13" ht="12.75">
      <c r="A171" s="14" t="s">
        <v>31</v>
      </c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1:13" ht="12.75">
      <c r="A172" s="14" t="s">
        <v>41</v>
      </c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1:13" ht="12.75">
      <c r="A173" s="14" t="s">
        <v>101</v>
      </c>
      <c r="B173" s="14"/>
      <c r="C173" s="14"/>
      <c r="D173" s="14"/>
      <c r="E173" s="14" t="s">
        <v>32</v>
      </c>
      <c r="F173" s="14"/>
      <c r="G173" s="14"/>
      <c r="H173" s="14"/>
      <c r="I173" s="14"/>
      <c r="J173" s="14"/>
      <c r="K173" s="14"/>
      <c r="L173" s="14"/>
      <c r="M173" s="14"/>
    </row>
    <row r="174" spans="1:13" ht="23.25" customHeight="1">
      <c r="A174" s="6" t="s">
        <v>0</v>
      </c>
      <c r="B174" s="151" t="s">
        <v>38</v>
      </c>
      <c r="C174" s="152"/>
      <c r="D174" s="149" t="s">
        <v>39</v>
      </c>
      <c r="E174" s="150"/>
      <c r="F174" s="149" t="s">
        <v>96</v>
      </c>
      <c r="G174" s="150"/>
      <c r="H174" s="149" t="s">
        <v>97</v>
      </c>
      <c r="I174" s="150"/>
      <c r="J174" s="149" t="s">
        <v>98</v>
      </c>
      <c r="K174" s="150"/>
      <c r="L174" s="149" t="s">
        <v>99</v>
      </c>
      <c r="M174" s="150"/>
    </row>
    <row r="175" spans="1:13" ht="12.75">
      <c r="A175" s="11" t="s">
        <v>5</v>
      </c>
      <c r="B175" s="153"/>
      <c r="C175" s="154"/>
      <c r="D175" s="6" t="s">
        <v>40</v>
      </c>
      <c r="E175" s="6" t="s">
        <v>22</v>
      </c>
      <c r="F175" s="6" t="s">
        <v>40</v>
      </c>
      <c r="G175" s="13" t="s">
        <v>22</v>
      </c>
      <c r="H175" s="2"/>
      <c r="I175" s="2"/>
      <c r="J175" s="2"/>
      <c r="K175" s="2"/>
      <c r="L175" s="2"/>
      <c r="M175" s="2"/>
    </row>
    <row r="176" spans="1:13" ht="12.75">
      <c r="A176" s="2" t="s">
        <v>1</v>
      </c>
      <c r="B176" s="2"/>
      <c r="C176" s="6">
        <v>4</v>
      </c>
      <c r="D176" s="6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2.75">
      <c r="A177" s="2" t="s">
        <v>2</v>
      </c>
      <c r="B177" s="2"/>
      <c r="C177" s="6">
        <v>1</v>
      </c>
      <c r="D177" s="6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2.75">
      <c r="A178" s="2" t="s">
        <v>3</v>
      </c>
      <c r="B178" s="2"/>
      <c r="C178" s="6">
        <v>39</v>
      </c>
      <c r="D178" s="6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2.75">
      <c r="A179" s="2" t="s">
        <v>85</v>
      </c>
      <c r="B179" s="2"/>
      <c r="C179" s="6">
        <v>1879.75</v>
      </c>
      <c r="D179" s="6"/>
      <c r="E179" s="6"/>
      <c r="F179" s="6"/>
      <c r="G179" s="2"/>
      <c r="H179" s="2"/>
      <c r="I179" s="2"/>
      <c r="J179" s="2"/>
      <c r="K179" s="2"/>
      <c r="L179" s="2"/>
      <c r="M179" s="2"/>
    </row>
    <row r="180" spans="1:13" ht="21.75">
      <c r="A180" s="35" t="s">
        <v>6</v>
      </c>
      <c r="B180" s="11" t="s">
        <v>40</v>
      </c>
      <c r="C180" s="2" t="s">
        <v>22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22.5">
      <c r="A181" s="40" t="s">
        <v>7</v>
      </c>
      <c r="B181" s="3"/>
      <c r="C181" s="6"/>
      <c r="D181" s="2">
        <f>F181+H182+J182+L182</f>
        <v>0</v>
      </c>
      <c r="E181" s="2">
        <f>G181+I181+K181+M181</f>
        <v>212147.41000000003</v>
      </c>
      <c r="F181" s="2"/>
      <c r="G181" s="2">
        <v>43842.38</v>
      </c>
      <c r="H181" s="2"/>
      <c r="I181" s="2">
        <v>49260.66</v>
      </c>
      <c r="J181" s="2"/>
      <c r="K181" s="2">
        <v>62723.67</v>
      </c>
      <c r="L181" s="2"/>
      <c r="M181" s="2">
        <v>56320.7</v>
      </c>
    </row>
    <row r="182" spans="1:13" ht="12.75">
      <c r="A182" s="41" t="s">
        <v>8</v>
      </c>
      <c r="B182" s="3"/>
      <c r="C182" s="6"/>
      <c r="D182" s="1"/>
      <c r="E182" s="1"/>
      <c r="F182" s="1"/>
      <c r="G182" s="1"/>
      <c r="H182" s="2"/>
      <c r="I182" s="2"/>
      <c r="J182" s="2"/>
      <c r="K182" s="2"/>
      <c r="L182" s="2"/>
      <c r="M182" s="2"/>
    </row>
    <row r="183" spans="1:13" ht="13.5" thickBot="1">
      <c r="A183" s="48" t="s">
        <v>9</v>
      </c>
      <c r="B183" s="36"/>
      <c r="C183" s="12"/>
      <c r="D183" s="22"/>
      <c r="E183" s="22"/>
      <c r="F183" s="22"/>
      <c r="G183" s="22"/>
      <c r="H183" s="22"/>
      <c r="I183" s="22"/>
      <c r="J183" s="22"/>
      <c r="K183" s="22"/>
      <c r="L183" s="22"/>
      <c r="M183" s="22"/>
    </row>
    <row r="184" spans="1:13" ht="13.5" thickBot="1">
      <c r="A184" s="25" t="s">
        <v>10</v>
      </c>
      <c r="B184" s="93"/>
      <c r="C184" s="28"/>
      <c r="D184" s="28">
        <f>SUM(D181:D183)</f>
        <v>0</v>
      </c>
      <c r="E184" s="28">
        <f>SUM(E181:E183)</f>
        <v>212147.41000000003</v>
      </c>
      <c r="F184" s="28"/>
      <c r="G184" s="94">
        <f>SUM(G181:G183)</f>
        <v>43842.38</v>
      </c>
      <c r="H184" s="26"/>
      <c r="I184" s="26">
        <f>SUM(I181:I183)</f>
        <v>49260.66</v>
      </c>
      <c r="J184" s="26"/>
      <c r="K184" s="26">
        <f>SUM(K181:K183)</f>
        <v>62723.67</v>
      </c>
      <c r="L184" s="26"/>
      <c r="M184" s="84">
        <f>SUM(M181:M183)</f>
        <v>56320.7</v>
      </c>
    </row>
    <row r="185" spans="1:13" ht="21.75">
      <c r="A185" s="91" t="s">
        <v>82</v>
      </c>
      <c r="B185" s="92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</row>
    <row r="186" spans="1:13" ht="12.75">
      <c r="A186" s="43" t="s">
        <v>11</v>
      </c>
      <c r="B186" s="44"/>
      <c r="C186" s="45"/>
      <c r="D186" s="45">
        <f>F186+H186+J186+L186</f>
        <v>0</v>
      </c>
      <c r="E186" s="45">
        <f>G186+I186+K186+M186</f>
        <v>61317.632975</v>
      </c>
      <c r="F186" s="45"/>
      <c r="G186" s="45">
        <f>7.99407*C179</f>
        <v>15026.8530825</v>
      </c>
      <c r="H186" s="45"/>
      <c r="I186" s="45">
        <f>9.57707*C179</f>
        <v>18002.497332500003</v>
      </c>
      <c r="J186" s="45"/>
      <c r="K186" s="45">
        <f>7.32829*C179</f>
        <v>13775.3531275</v>
      </c>
      <c r="L186" s="45"/>
      <c r="M186" s="114">
        <f>7.72067*C179</f>
        <v>14512.929432500001</v>
      </c>
    </row>
    <row r="187" spans="1:13" ht="12.75">
      <c r="A187" s="43" t="s">
        <v>12</v>
      </c>
      <c r="B187" s="46"/>
      <c r="C187" s="7"/>
      <c r="D187" s="7">
        <f aca="true" t="shared" si="6" ref="D187:D234">F187+H187+J187+L187</f>
        <v>0</v>
      </c>
      <c r="E187" s="7">
        <f aca="true" t="shared" si="7" ref="E187:E234">G187+I187+K187+M187</f>
        <v>0</v>
      </c>
      <c r="F187" s="7"/>
      <c r="G187" s="7"/>
      <c r="H187" s="7"/>
      <c r="I187" s="7"/>
      <c r="J187" s="7"/>
      <c r="K187" s="7"/>
      <c r="L187" s="7"/>
      <c r="M187" s="7"/>
    </row>
    <row r="188" spans="1:13" ht="12.75">
      <c r="A188" s="41" t="s">
        <v>13</v>
      </c>
      <c r="B188" s="46"/>
      <c r="C188" s="7"/>
      <c r="D188" s="7">
        <f t="shared" si="6"/>
        <v>0</v>
      </c>
      <c r="E188" s="45">
        <f>G188+I188+K188+M188</f>
        <v>84704.3991125</v>
      </c>
      <c r="F188" s="7"/>
      <c r="G188" s="7">
        <f>G189+G191+G192+G193+G194+G195+G196+G197+G198+G199+G200</f>
        <v>21298.5875575</v>
      </c>
      <c r="H188" s="7"/>
      <c r="I188" s="7">
        <f>I189+I191+I192+I193+I194+I195+I196+I197+I199+I198+I200</f>
        <v>22448.944727500002</v>
      </c>
      <c r="J188" s="7"/>
      <c r="K188" s="7">
        <f>K189+K191+K192+K193+K194+K195+K196+K197+K198+K199+K200</f>
        <v>21754.416577500004</v>
      </c>
      <c r="L188" s="7"/>
      <c r="M188" s="7">
        <f>M189+M191+M192+M193+M194+M195+M196+M197+M198+M199+M200</f>
        <v>19202.450249999998</v>
      </c>
    </row>
    <row r="189" spans="1:13" ht="12.75">
      <c r="A189" s="47" t="s">
        <v>14</v>
      </c>
      <c r="B189" s="46"/>
      <c r="C189" s="71"/>
      <c r="D189" s="7">
        <f t="shared" si="6"/>
        <v>0</v>
      </c>
      <c r="E189" s="7">
        <f aca="true" t="shared" si="8" ref="E189:E200">G189+I189+K189</f>
        <v>60069</v>
      </c>
      <c r="F189" s="7"/>
      <c r="G189" s="7">
        <v>20121</v>
      </c>
      <c r="H189" s="7"/>
      <c r="I189" s="7">
        <v>19565</v>
      </c>
      <c r="J189" s="7"/>
      <c r="K189" s="7">
        <v>20383</v>
      </c>
      <c r="L189" s="7"/>
      <c r="M189" s="15">
        <v>18030</v>
      </c>
    </row>
    <row r="190" spans="1:14" ht="12.75">
      <c r="A190" s="41" t="s">
        <v>19</v>
      </c>
      <c r="B190" s="46"/>
      <c r="C190" s="71"/>
      <c r="D190" s="7">
        <f t="shared" si="6"/>
        <v>0</v>
      </c>
      <c r="E190" s="7">
        <f t="shared" si="8"/>
        <v>41545.05</v>
      </c>
      <c r="F190" s="7"/>
      <c r="G190" s="7">
        <v>13853.05</v>
      </c>
      <c r="H190" s="7"/>
      <c r="I190" s="7">
        <v>13853</v>
      </c>
      <c r="J190" s="7"/>
      <c r="K190" s="7">
        <v>13839</v>
      </c>
      <c r="L190" s="7"/>
      <c r="M190" s="15">
        <v>13839</v>
      </c>
      <c r="N190" s="147"/>
    </row>
    <row r="191" spans="1:13" ht="12.75">
      <c r="A191" s="41" t="s">
        <v>18</v>
      </c>
      <c r="B191" s="46"/>
      <c r="C191" s="7"/>
      <c r="D191" s="7">
        <f t="shared" si="6"/>
        <v>0</v>
      </c>
      <c r="E191" s="7">
        <f t="shared" si="8"/>
        <v>472.58</v>
      </c>
      <c r="F191" s="7"/>
      <c r="G191" s="7">
        <v>109.57</v>
      </c>
      <c r="H191" s="7"/>
      <c r="I191" s="7">
        <v>154.2</v>
      </c>
      <c r="J191" s="7"/>
      <c r="K191" s="7">
        <v>208.81</v>
      </c>
      <c r="L191" s="7"/>
      <c r="M191" s="15">
        <v>226</v>
      </c>
    </row>
    <row r="192" spans="1:13" ht="12.75">
      <c r="A192" s="41" t="s">
        <v>53</v>
      </c>
      <c r="B192" s="46"/>
      <c r="C192" s="7"/>
      <c r="D192" s="7">
        <f t="shared" si="6"/>
        <v>0</v>
      </c>
      <c r="E192" s="7">
        <f t="shared" si="8"/>
        <v>3167.4727375</v>
      </c>
      <c r="F192" s="7"/>
      <c r="G192" s="7">
        <f>0.54857*C179</f>
        <v>1031.1744575</v>
      </c>
      <c r="H192" s="7"/>
      <c r="I192" s="7">
        <f>0.53049*C179</f>
        <v>997.1885775000001</v>
      </c>
      <c r="J192" s="7"/>
      <c r="K192" s="7">
        <f>0.60599*C179</f>
        <v>1139.1097025000001</v>
      </c>
      <c r="L192" s="7"/>
      <c r="M192" s="15">
        <f>0.239*C179</f>
        <v>449.26025</v>
      </c>
    </row>
    <row r="193" spans="1:13" ht="12.75">
      <c r="A193" s="41" t="s">
        <v>148</v>
      </c>
      <c r="B193" s="46"/>
      <c r="C193" s="7"/>
      <c r="D193" s="7">
        <f t="shared" si="6"/>
        <v>0</v>
      </c>
      <c r="E193" s="7">
        <f t="shared" si="8"/>
        <v>0</v>
      </c>
      <c r="F193" s="7"/>
      <c r="G193" s="7"/>
      <c r="H193" s="7"/>
      <c r="I193" s="7"/>
      <c r="J193" s="7"/>
      <c r="K193" s="7"/>
      <c r="L193" s="7"/>
      <c r="M193" s="7"/>
    </row>
    <row r="194" spans="1:13" ht="12.75">
      <c r="A194" s="41" t="s">
        <v>27</v>
      </c>
      <c r="B194" s="46"/>
      <c r="C194" s="7"/>
      <c r="D194" s="7">
        <f t="shared" si="6"/>
        <v>0</v>
      </c>
      <c r="E194" s="7">
        <f t="shared" si="8"/>
        <v>140.793275</v>
      </c>
      <c r="F194" s="7"/>
      <c r="G194" s="7"/>
      <c r="H194" s="7"/>
      <c r="I194" s="7">
        <f>0.0749*C179</f>
        <v>140.793275</v>
      </c>
      <c r="J194" s="7"/>
      <c r="K194" s="7"/>
      <c r="L194" s="7"/>
      <c r="M194" s="7"/>
    </row>
    <row r="195" spans="1:13" ht="12.75">
      <c r="A195" s="41" t="s">
        <v>36</v>
      </c>
      <c r="B195" s="46"/>
      <c r="C195" s="7"/>
      <c r="D195" s="7">
        <f>715</f>
        <v>715</v>
      </c>
      <c r="E195" s="7">
        <f t="shared" si="8"/>
        <v>1463</v>
      </c>
      <c r="F195" s="7"/>
      <c r="G195" s="7"/>
      <c r="H195" s="7" t="s">
        <v>212</v>
      </c>
      <c r="I195" s="7">
        <v>1463</v>
      </c>
      <c r="J195" s="7"/>
      <c r="K195" s="7"/>
      <c r="L195" s="7">
        <v>243</v>
      </c>
      <c r="M195" s="15">
        <v>497.19</v>
      </c>
    </row>
    <row r="196" spans="1:13" ht="12.75">
      <c r="A196" s="41" t="s">
        <v>58</v>
      </c>
      <c r="B196" s="44"/>
      <c r="C196" s="45"/>
      <c r="D196" s="7">
        <f t="shared" si="6"/>
        <v>0</v>
      </c>
      <c r="E196" s="7">
        <f t="shared" si="8"/>
        <v>0</v>
      </c>
      <c r="F196" s="45"/>
      <c r="G196" s="7"/>
      <c r="H196" s="7"/>
      <c r="I196" s="7"/>
      <c r="J196" s="7"/>
      <c r="K196" s="7"/>
      <c r="L196" s="7"/>
      <c r="M196" s="7"/>
    </row>
    <row r="197" spans="1:13" ht="12.75">
      <c r="A197" s="41" t="s">
        <v>43</v>
      </c>
      <c r="B197" s="44"/>
      <c r="C197" s="7"/>
      <c r="D197" s="7">
        <f t="shared" si="6"/>
        <v>0</v>
      </c>
      <c r="E197" s="7">
        <f t="shared" si="8"/>
        <v>0</v>
      </c>
      <c r="F197" s="7"/>
      <c r="G197" s="7"/>
      <c r="H197" s="7"/>
      <c r="I197" s="7"/>
      <c r="J197" s="7"/>
      <c r="K197" s="7"/>
      <c r="L197" s="7"/>
      <c r="M197" s="7"/>
    </row>
    <row r="198" spans="1:13" ht="12.75">
      <c r="A198" s="41" t="s">
        <v>30</v>
      </c>
      <c r="B198" s="44"/>
      <c r="C198" s="71"/>
      <c r="D198" s="7">
        <f t="shared" si="6"/>
        <v>0</v>
      </c>
      <c r="E198" s="7">
        <f t="shared" si="8"/>
        <v>0</v>
      </c>
      <c r="F198" s="7"/>
      <c r="G198" s="7"/>
      <c r="H198" s="7"/>
      <c r="I198" s="7"/>
      <c r="J198" s="7"/>
      <c r="K198" s="7"/>
      <c r="L198" s="7"/>
      <c r="M198" s="7"/>
    </row>
    <row r="199" spans="1:13" ht="12.75">
      <c r="A199" s="41" t="s">
        <v>54</v>
      </c>
      <c r="B199" s="44"/>
      <c r="C199" s="7"/>
      <c r="D199" s="7">
        <f t="shared" si="6"/>
        <v>0</v>
      </c>
      <c r="E199" s="7">
        <f t="shared" si="8"/>
        <v>36.8431</v>
      </c>
      <c r="F199" s="7"/>
      <c r="G199" s="7">
        <f>0.0196*C179</f>
        <v>36.8431</v>
      </c>
      <c r="H199" s="7"/>
      <c r="I199" s="7"/>
      <c r="J199" s="7"/>
      <c r="K199" s="7"/>
      <c r="L199" s="7"/>
      <c r="M199" s="7"/>
    </row>
    <row r="200" spans="1:13" ht="13.5" thickBot="1">
      <c r="A200" s="48" t="s">
        <v>55</v>
      </c>
      <c r="B200" s="85"/>
      <c r="C200" s="50"/>
      <c r="D200" s="50">
        <f t="shared" si="6"/>
        <v>0</v>
      </c>
      <c r="E200" s="7">
        <f t="shared" si="8"/>
        <v>152.25975</v>
      </c>
      <c r="F200" s="50"/>
      <c r="G200" s="50"/>
      <c r="H200" s="50"/>
      <c r="I200" s="50">
        <f>0.0685*C179</f>
        <v>128.762875</v>
      </c>
      <c r="J200" s="50"/>
      <c r="K200" s="50">
        <f>0.0125*C179</f>
        <v>23.496875000000003</v>
      </c>
      <c r="L200" s="50"/>
      <c r="M200" s="50"/>
    </row>
    <row r="201" spans="1:13" ht="13.5" thickBot="1">
      <c r="A201" s="51" t="s">
        <v>76</v>
      </c>
      <c r="B201" s="81"/>
      <c r="C201" s="63"/>
      <c r="D201" s="63">
        <f t="shared" si="6"/>
        <v>0</v>
      </c>
      <c r="E201" s="63">
        <f t="shared" si="7"/>
        <v>146022.0320875</v>
      </c>
      <c r="F201" s="86"/>
      <c r="G201" s="87">
        <f>G186+G188</f>
        <v>36325.44064</v>
      </c>
      <c r="H201" s="63"/>
      <c r="I201" s="63">
        <f>I186+I188</f>
        <v>40451.44206</v>
      </c>
      <c r="J201" s="63"/>
      <c r="K201" s="63">
        <f>K186+K188</f>
        <v>35529.769705000006</v>
      </c>
      <c r="L201" s="63"/>
      <c r="M201" s="29">
        <f>M186+M188</f>
        <v>33715.3796825</v>
      </c>
    </row>
    <row r="202" spans="1:13" ht="21.75">
      <c r="A202" s="54" t="s">
        <v>15</v>
      </c>
      <c r="B202" s="61"/>
      <c r="C202" s="56"/>
      <c r="D202" s="56">
        <f t="shared" si="6"/>
        <v>0</v>
      </c>
      <c r="E202" s="56">
        <f t="shared" si="7"/>
        <v>0</v>
      </c>
      <c r="F202" s="56"/>
      <c r="G202" s="56"/>
      <c r="H202" s="56"/>
      <c r="I202" s="56"/>
      <c r="J202" s="56"/>
      <c r="K202" s="56"/>
      <c r="L202" s="56"/>
      <c r="M202" s="56"/>
    </row>
    <row r="203" spans="1:13" ht="12.75">
      <c r="A203" s="41" t="s">
        <v>17</v>
      </c>
      <c r="B203" s="46"/>
      <c r="C203" s="7"/>
      <c r="D203" s="7">
        <f t="shared" si="6"/>
        <v>0</v>
      </c>
      <c r="E203" s="7">
        <f t="shared" si="7"/>
        <v>53143.3709225</v>
      </c>
      <c r="F203" s="7"/>
      <c r="G203" s="7">
        <f>6.73321*C179</f>
        <v>12656.7514975</v>
      </c>
      <c r="H203" s="7"/>
      <c r="I203" s="7">
        <f>7.02207*C179</f>
        <v>13199.7360825</v>
      </c>
      <c r="J203" s="7"/>
      <c r="K203" s="7">
        <f>7.2754*C179</f>
        <v>13675.93315</v>
      </c>
      <c r="L203" s="7"/>
      <c r="M203" s="15">
        <f>7.24083*C179</f>
        <v>13610.9501925</v>
      </c>
    </row>
    <row r="204" spans="1:13" ht="12.75">
      <c r="A204" s="41" t="s">
        <v>34</v>
      </c>
      <c r="B204" s="46"/>
      <c r="C204" s="7"/>
      <c r="D204" s="7">
        <f t="shared" si="6"/>
        <v>0</v>
      </c>
      <c r="E204" s="7">
        <f t="shared" si="7"/>
        <v>0</v>
      </c>
      <c r="F204" s="7"/>
      <c r="G204" s="7"/>
      <c r="H204" s="7"/>
      <c r="I204" s="7"/>
      <c r="J204" s="7"/>
      <c r="K204" s="7"/>
      <c r="L204" s="7"/>
      <c r="M204" s="7"/>
    </row>
    <row r="205" spans="1:13" ht="12.75">
      <c r="A205" s="41" t="s">
        <v>67</v>
      </c>
      <c r="B205" s="46"/>
      <c r="C205" s="7"/>
      <c r="D205" s="7">
        <f t="shared" si="6"/>
        <v>0</v>
      </c>
      <c r="E205" s="7">
        <f t="shared" si="7"/>
        <v>20735</v>
      </c>
      <c r="F205" s="7"/>
      <c r="G205" s="7">
        <v>861</v>
      </c>
      <c r="H205" s="7"/>
      <c r="I205" s="7"/>
      <c r="J205" s="7"/>
      <c r="K205" s="7"/>
      <c r="L205" s="7"/>
      <c r="M205" s="15">
        <v>19874</v>
      </c>
    </row>
    <row r="206" spans="1:13" ht="12.75">
      <c r="A206" s="41" t="s">
        <v>68</v>
      </c>
      <c r="B206" s="46"/>
      <c r="C206" s="7"/>
      <c r="D206" s="7">
        <f t="shared" si="6"/>
        <v>0</v>
      </c>
      <c r="E206" s="7">
        <f t="shared" si="7"/>
        <v>0</v>
      </c>
      <c r="F206" s="7"/>
      <c r="G206" s="7"/>
      <c r="H206" s="7"/>
      <c r="I206" s="7"/>
      <c r="J206" s="7"/>
      <c r="K206" s="7"/>
      <c r="L206" s="7"/>
      <c r="M206" s="7"/>
    </row>
    <row r="207" spans="1:13" ht="12.75">
      <c r="A207" s="41" t="s">
        <v>69</v>
      </c>
      <c r="B207" s="46"/>
      <c r="C207" s="7"/>
      <c r="D207" s="7">
        <f t="shared" si="6"/>
        <v>0</v>
      </c>
      <c r="E207" s="7">
        <f t="shared" si="7"/>
        <v>0</v>
      </c>
      <c r="F207" s="7"/>
      <c r="G207" s="7"/>
      <c r="H207" s="7"/>
      <c r="I207" s="7"/>
      <c r="J207" s="7"/>
      <c r="K207" s="7"/>
      <c r="L207" s="7"/>
      <c r="M207" s="7"/>
    </row>
    <row r="208" spans="1:13" ht="12.75">
      <c r="A208" s="41" t="s">
        <v>26</v>
      </c>
      <c r="B208" s="46"/>
      <c r="C208" s="7"/>
      <c r="D208" s="7">
        <f t="shared" si="6"/>
        <v>0</v>
      </c>
      <c r="E208" s="7">
        <f t="shared" si="7"/>
        <v>2202</v>
      </c>
      <c r="F208" s="7"/>
      <c r="G208" s="7"/>
      <c r="H208" s="7"/>
      <c r="I208" s="7">
        <v>1082</v>
      </c>
      <c r="J208" s="7"/>
      <c r="K208" s="7"/>
      <c r="L208" s="7"/>
      <c r="M208" s="15">
        <v>1120</v>
      </c>
    </row>
    <row r="209" spans="1:13" ht="12.75">
      <c r="A209" s="41" t="s">
        <v>28</v>
      </c>
      <c r="B209" s="46"/>
      <c r="C209" s="7"/>
      <c r="D209" s="7">
        <f t="shared" si="6"/>
        <v>0</v>
      </c>
      <c r="E209" s="7">
        <f t="shared" si="7"/>
        <v>900</v>
      </c>
      <c r="F209" s="7"/>
      <c r="G209" s="7"/>
      <c r="H209" s="7"/>
      <c r="I209" s="7"/>
      <c r="J209" s="7"/>
      <c r="K209" s="7"/>
      <c r="L209" s="7"/>
      <c r="M209" s="15">
        <v>900</v>
      </c>
    </row>
    <row r="210" spans="1:13" ht="12.75">
      <c r="A210" s="41" t="s">
        <v>291</v>
      </c>
      <c r="B210" s="46"/>
      <c r="C210" s="7"/>
      <c r="D210" s="7"/>
      <c r="E210" s="7">
        <f t="shared" si="7"/>
        <v>2780</v>
      </c>
      <c r="F210" s="7"/>
      <c r="G210" s="7"/>
      <c r="H210" s="7"/>
      <c r="I210" s="7"/>
      <c r="J210" s="7"/>
      <c r="K210" s="7">
        <v>2780</v>
      </c>
      <c r="L210" s="7"/>
      <c r="M210" s="7"/>
    </row>
    <row r="211" spans="1:13" ht="12.75">
      <c r="A211" s="41" t="s">
        <v>60</v>
      </c>
      <c r="B211" s="46"/>
      <c r="C211" s="7"/>
      <c r="D211" s="7">
        <f t="shared" si="6"/>
        <v>0</v>
      </c>
      <c r="E211" s="7">
        <f t="shared" si="7"/>
        <v>0</v>
      </c>
      <c r="F211" s="7"/>
      <c r="G211" s="7"/>
      <c r="H211" s="7"/>
      <c r="I211" s="7"/>
      <c r="J211" s="7"/>
      <c r="K211" s="7"/>
      <c r="L211" s="7"/>
      <c r="M211" s="7"/>
    </row>
    <row r="212" spans="1:13" ht="12.75">
      <c r="A212" s="41" t="s">
        <v>75</v>
      </c>
      <c r="B212" s="46"/>
      <c r="C212" s="7"/>
      <c r="D212" s="7">
        <f t="shared" si="6"/>
        <v>0</v>
      </c>
      <c r="E212" s="7">
        <f t="shared" si="7"/>
        <v>0</v>
      </c>
      <c r="F212" s="7"/>
      <c r="G212" s="7"/>
      <c r="H212" s="7"/>
      <c r="I212" s="7"/>
      <c r="J212" s="7"/>
      <c r="K212" s="7"/>
      <c r="L212" s="7"/>
      <c r="M212" s="7"/>
    </row>
    <row r="213" spans="1:13" ht="12.75">
      <c r="A213" s="41" t="s">
        <v>62</v>
      </c>
      <c r="B213" s="46"/>
      <c r="C213" s="7"/>
      <c r="D213" s="7">
        <f t="shared" si="6"/>
        <v>0</v>
      </c>
      <c r="E213" s="7">
        <f t="shared" si="7"/>
        <v>0</v>
      </c>
      <c r="F213" s="7"/>
      <c r="G213" s="7"/>
      <c r="H213" s="7"/>
      <c r="I213" s="7"/>
      <c r="J213" s="7"/>
      <c r="K213" s="7"/>
      <c r="L213" s="7"/>
      <c r="M213" s="7"/>
    </row>
    <row r="214" spans="1:13" ht="12.75">
      <c r="A214" s="41" t="s">
        <v>290</v>
      </c>
      <c r="B214" s="46"/>
      <c r="C214" s="7"/>
      <c r="D214" s="7">
        <f t="shared" si="6"/>
        <v>0</v>
      </c>
      <c r="E214" s="7">
        <f t="shared" si="7"/>
        <v>140</v>
      </c>
      <c r="F214" s="7"/>
      <c r="G214" s="7"/>
      <c r="H214" s="7"/>
      <c r="I214" s="7"/>
      <c r="J214" s="7"/>
      <c r="K214" s="7">
        <v>140</v>
      </c>
      <c r="L214" s="7"/>
      <c r="M214" s="7"/>
    </row>
    <row r="215" spans="1:13" ht="12.75">
      <c r="A215" s="41" t="s">
        <v>292</v>
      </c>
      <c r="B215" s="46"/>
      <c r="C215" s="7"/>
      <c r="D215" s="7">
        <f t="shared" si="6"/>
        <v>0</v>
      </c>
      <c r="E215" s="7">
        <f t="shared" si="7"/>
        <v>4900</v>
      </c>
      <c r="F215" s="7"/>
      <c r="G215" s="7"/>
      <c r="H215" s="7"/>
      <c r="I215" s="7"/>
      <c r="J215" s="7"/>
      <c r="K215" s="7">
        <v>4900</v>
      </c>
      <c r="L215" s="7"/>
      <c r="M215" s="7"/>
    </row>
    <row r="216" spans="1:13" ht="12.75">
      <c r="A216" s="41" t="s">
        <v>51</v>
      </c>
      <c r="B216" s="44"/>
      <c r="C216" s="45"/>
      <c r="D216" s="7">
        <f t="shared" si="6"/>
        <v>0</v>
      </c>
      <c r="E216" s="7">
        <f t="shared" si="7"/>
        <v>1681.29</v>
      </c>
      <c r="F216" s="45"/>
      <c r="G216" s="7"/>
      <c r="H216" s="7"/>
      <c r="I216" s="7">
        <v>1681.29</v>
      </c>
      <c r="J216" s="7"/>
      <c r="K216" s="7"/>
      <c r="L216" s="7"/>
      <c r="M216" s="7"/>
    </row>
    <row r="217" spans="1:13" ht="12.75">
      <c r="A217" s="58" t="s">
        <v>52</v>
      </c>
      <c r="B217" s="44"/>
      <c r="C217" s="7"/>
      <c r="D217" s="7">
        <f t="shared" si="6"/>
        <v>0</v>
      </c>
      <c r="E217" s="7">
        <f t="shared" si="7"/>
        <v>0</v>
      </c>
      <c r="F217" s="7"/>
      <c r="G217" s="7"/>
      <c r="H217" s="7"/>
      <c r="I217" s="7"/>
      <c r="J217" s="7"/>
      <c r="K217" s="7"/>
      <c r="L217" s="7"/>
      <c r="M217" s="7"/>
    </row>
    <row r="218" spans="1:13" ht="12.75">
      <c r="A218" s="41" t="s">
        <v>80</v>
      </c>
      <c r="B218" s="46"/>
      <c r="C218" s="7"/>
      <c r="D218" s="7">
        <f t="shared" si="6"/>
        <v>0</v>
      </c>
      <c r="E218" s="7">
        <f t="shared" si="7"/>
        <v>0</v>
      </c>
      <c r="F218" s="7"/>
      <c r="G218" s="7"/>
      <c r="H218" s="7"/>
      <c r="I218" s="7"/>
      <c r="J218" s="7"/>
      <c r="K218" s="7"/>
      <c r="L218" s="7"/>
      <c r="M218" s="7"/>
    </row>
    <row r="219" spans="1:13" ht="12.75">
      <c r="A219" s="41" t="s">
        <v>65</v>
      </c>
      <c r="B219" s="46"/>
      <c r="C219" s="7"/>
      <c r="D219" s="7">
        <f t="shared" si="6"/>
        <v>0</v>
      </c>
      <c r="E219" s="7">
        <f t="shared" si="7"/>
        <v>0</v>
      </c>
      <c r="F219" s="7"/>
      <c r="G219" s="7"/>
      <c r="H219" s="7"/>
      <c r="I219" s="7"/>
      <c r="J219" s="7"/>
      <c r="K219" s="7"/>
      <c r="L219" s="7"/>
      <c r="M219" s="7"/>
    </row>
    <row r="220" spans="1:13" ht="12.75">
      <c r="A220" s="41" t="s">
        <v>57</v>
      </c>
      <c r="B220" s="46"/>
      <c r="C220" s="7"/>
      <c r="D220" s="7">
        <f t="shared" si="6"/>
        <v>0</v>
      </c>
      <c r="E220" s="7">
        <f t="shared" si="7"/>
        <v>13.346225</v>
      </c>
      <c r="F220" s="7"/>
      <c r="G220" s="7"/>
      <c r="H220" s="7"/>
      <c r="I220" s="7">
        <f>0.0071*C179</f>
        <v>13.346225</v>
      </c>
      <c r="J220" s="7"/>
      <c r="K220" s="7"/>
      <c r="L220" s="7"/>
      <c r="M220" s="7"/>
    </row>
    <row r="221" spans="1:13" ht="12.75">
      <c r="A221" s="41" t="s">
        <v>33</v>
      </c>
      <c r="B221" s="46"/>
      <c r="C221" s="7"/>
      <c r="D221" s="7">
        <f t="shared" si="6"/>
        <v>0</v>
      </c>
      <c r="E221" s="7">
        <f t="shared" si="7"/>
        <v>1925</v>
      </c>
      <c r="F221" s="7"/>
      <c r="G221" s="7"/>
      <c r="H221" s="7"/>
      <c r="I221" s="7"/>
      <c r="J221" s="7"/>
      <c r="K221" s="7"/>
      <c r="L221" s="7"/>
      <c r="M221" s="15">
        <v>1925</v>
      </c>
    </row>
    <row r="222" spans="1:13" ht="12.75">
      <c r="A222" s="41" t="s">
        <v>50</v>
      </c>
      <c r="B222" s="46"/>
      <c r="C222" s="7"/>
      <c r="D222" s="7">
        <f t="shared" si="6"/>
        <v>0</v>
      </c>
      <c r="E222" s="7">
        <f t="shared" si="7"/>
        <v>2060.9579</v>
      </c>
      <c r="F222" s="7"/>
      <c r="G222" s="7">
        <f>0.2455*C179</f>
        <v>461.47862499999997</v>
      </c>
      <c r="H222" s="7"/>
      <c r="I222" s="7">
        <f>0.5802*C179</f>
        <v>1090.63095</v>
      </c>
      <c r="J222" s="7"/>
      <c r="K222" s="7">
        <f>0.1437*C179</f>
        <v>270.120075</v>
      </c>
      <c r="L222" s="7"/>
      <c r="M222" s="15">
        <f>0.127*C179</f>
        <v>238.72825</v>
      </c>
    </row>
    <row r="223" spans="1:13" ht="13.5" thickBot="1">
      <c r="A223" s="48" t="s">
        <v>54</v>
      </c>
      <c r="B223" s="85"/>
      <c r="C223" s="88"/>
      <c r="D223" s="50">
        <f t="shared" si="6"/>
        <v>0</v>
      </c>
      <c r="E223" s="7">
        <f t="shared" si="7"/>
        <v>57.8963</v>
      </c>
      <c r="F223" s="88"/>
      <c r="G223" s="50"/>
      <c r="H223" s="50"/>
      <c r="I223" s="50">
        <f>0.0078*C179</f>
        <v>14.662049999999999</v>
      </c>
      <c r="J223" s="50"/>
      <c r="K223" s="50">
        <f>0.011*C179</f>
        <v>20.677249999999997</v>
      </c>
      <c r="L223" s="50"/>
      <c r="M223" s="24">
        <f>0.012*C179</f>
        <v>22.557000000000002</v>
      </c>
    </row>
    <row r="224" spans="1:13" ht="13.5" thickBot="1">
      <c r="A224" s="59" t="s">
        <v>10</v>
      </c>
      <c r="B224" s="52"/>
      <c r="C224" s="53"/>
      <c r="D224" s="63">
        <f t="shared" si="6"/>
        <v>0</v>
      </c>
      <c r="E224" s="63">
        <f t="shared" si="7"/>
        <v>90538.8613475</v>
      </c>
      <c r="F224" s="63"/>
      <c r="G224" s="63">
        <f>SUM(G203:G223)</f>
        <v>13979.2301225</v>
      </c>
      <c r="H224" s="63"/>
      <c r="I224" s="63">
        <f>SUM(I203:I223)</f>
        <v>17081.6653075</v>
      </c>
      <c r="J224" s="63"/>
      <c r="K224" s="63">
        <f>SUM(K203:K223)</f>
        <v>21786.730475</v>
      </c>
      <c r="L224" s="63"/>
      <c r="M224" s="29">
        <f>SUM(M203:M223)</f>
        <v>37691.2354425</v>
      </c>
    </row>
    <row r="225" spans="1:13" ht="12.75">
      <c r="A225" s="60" t="s">
        <v>42</v>
      </c>
      <c r="B225" s="55"/>
      <c r="C225" s="66"/>
      <c r="D225" s="56"/>
      <c r="E225" s="56"/>
      <c r="F225" s="56"/>
      <c r="G225" s="56"/>
      <c r="H225" s="56"/>
      <c r="I225" s="56"/>
      <c r="J225" s="56"/>
      <c r="K225" s="56"/>
      <c r="L225" s="56"/>
      <c r="M225" s="56"/>
    </row>
    <row r="226" spans="1:13" ht="12.75">
      <c r="A226" s="41" t="s">
        <v>56</v>
      </c>
      <c r="B226" s="82"/>
      <c r="C226" s="71"/>
      <c r="D226" s="7">
        <f t="shared" si="6"/>
        <v>0</v>
      </c>
      <c r="E226" s="7">
        <f t="shared" si="7"/>
        <v>0</v>
      </c>
      <c r="F226" s="71"/>
      <c r="G226" s="7"/>
      <c r="H226" s="7"/>
      <c r="I226" s="7"/>
      <c r="J226" s="7"/>
      <c r="K226" s="7"/>
      <c r="L226" s="7"/>
      <c r="M226" s="7"/>
    </row>
    <row r="227" spans="1:13" ht="12.75">
      <c r="A227" s="41" t="s">
        <v>382</v>
      </c>
      <c r="B227" s="82"/>
      <c r="C227" s="71"/>
      <c r="D227" s="7"/>
      <c r="E227" s="7">
        <f t="shared" si="7"/>
        <v>267.2</v>
      </c>
      <c r="F227" s="71"/>
      <c r="G227" s="7"/>
      <c r="H227" s="7"/>
      <c r="I227" s="7"/>
      <c r="J227" s="7"/>
      <c r="K227" s="7"/>
      <c r="L227" s="7"/>
      <c r="M227" s="15">
        <v>267.2</v>
      </c>
    </row>
    <row r="228" spans="1:13" ht="12.75">
      <c r="A228" s="41" t="s">
        <v>385</v>
      </c>
      <c r="B228" s="82"/>
      <c r="C228" s="71"/>
      <c r="D228" s="7"/>
      <c r="E228" s="7">
        <f t="shared" si="7"/>
        <v>160.46</v>
      </c>
      <c r="F228" s="71"/>
      <c r="G228" s="7"/>
      <c r="H228" s="7"/>
      <c r="I228" s="7"/>
      <c r="J228" s="7"/>
      <c r="K228" s="7"/>
      <c r="L228" s="7"/>
      <c r="M228" s="15">
        <v>160.46</v>
      </c>
    </row>
    <row r="229" spans="1:13" ht="12.75">
      <c r="A229" s="41" t="s">
        <v>89</v>
      </c>
      <c r="B229" s="82"/>
      <c r="C229" s="71"/>
      <c r="D229" s="7">
        <f t="shared" si="6"/>
        <v>0</v>
      </c>
      <c r="E229" s="7">
        <f t="shared" si="7"/>
        <v>398</v>
      </c>
      <c r="F229" s="71"/>
      <c r="G229" s="7">
        <v>240</v>
      </c>
      <c r="H229" s="7"/>
      <c r="I229" s="7"/>
      <c r="J229" s="7"/>
      <c r="K229" s="7"/>
      <c r="L229" s="7"/>
      <c r="M229" s="15">
        <v>158</v>
      </c>
    </row>
    <row r="230" spans="1:13" ht="12.75">
      <c r="A230" s="48" t="s">
        <v>16</v>
      </c>
      <c r="B230" s="89"/>
      <c r="C230" s="90"/>
      <c r="D230" s="50">
        <f t="shared" si="6"/>
        <v>0</v>
      </c>
      <c r="E230" s="50">
        <f t="shared" si="7"/>
        <v>67.107075</v>
      </c>
      <c r="F230" s="90"/>
      <c r="G230" s="50">
        <f>0.0089*C179</f>
        <v>16.729775</v>
      </c>
      <c r="H230" s="50"/>
      <c r="I230" s="50"/>
      <c r="J230" s="50"/>
      <c r="K230" s="50"/>
      <c r="L230" s="50"/>
      <c r="M230" s="24">
        <f>0.0268*C179</f>
        <v>50.3773</v>
      </c>
    </row>
    <row r="231" spans="1:13" ht="13.5" thickBot="1">
      <c r="A231" s="41" t="s">
        <v>289</v>
      </c>
      <c r="B231" s="125"/>
      <c r="C231" s="126"/>
      <c r="D231" s="116"/>
      <c r="E231" s="50">
        <f t="shared" si="7"/>
        <v>304</v>
      </c>
      <c r="F231" s="126"/>
      <c r="G231" s="116"/>
      <c r="H231" s="116"/>
      <c r="I231" s="116"/>
      <c r="J231" s="116"/>
      <c r="K231" s="116">
        <v>304</v>
      </c>
      <c r="L231" s="116"/>
      <c r="M231" s="127"/>
    </row>
    <row r="232" spans="1:13" ht="13.5" thickBot="1">
      <c r="A232" s="62" t="s">
        <v>10</v>
      </c>
      <c r="B232" s="63"/>
      <c r="C232" s="63"/>
      <c r="D232" s="63">
        <f t="shared" si="6"/>
        <v>0</v>
      </c>
      <c r="E232" s="63">
        <f>SUM(E226:E231)</f>
        <v>1196.767075</v>
      </c>
      <c r="F232" s="63"/>
      <c r="G232" s="63">
        <f>SUM(G226:G230)</f>
        <v>256.729775</v>
      </c>
      <c r="H232" s="63"/>
      <c r="I232" s="63"/>
      <c r="J232" s="63"/>
      <c r="K232" s="63">
        <f>SUM(K226:K231)</f>
        <v>304</v>
      </c>
      <c r="L232" s="63"/>
      <c r="M232" s="29">
        <f>SUM(M226:M231)</f>
        <v>636.0373</v>
      </c>
    </row>
    <row r="233" spans="1:13" ht="13.5" thickBot="1">
      <c r="A233" s="64" t="s">
        <v>29</v>
      </c>
      <c r="B233" s="63"/>
      <c r="C233" s="63"/>
      <c r="D233" s="63">
        <f t="shared" si="6"/>
        <v>0</v>
      </c>
      <c r="E233" s="63">
        <f t="shared" si="7"/>
        <v>4309.702825</v>
      </c>
      <c r="F233" s="63"/>
      <c r="G233" s="63">
        <f>0.4236*C179</f>
        <v>796.2620999999999</v>
      </c>
      <c r="H233" s="63"/>
      <c r="I233" s="63">
        <f>0.5971*C179</f>
        <v>1122.398725</v>
      </c>
      <c r="J233" s="63"/>
      <c r="K233" s="63">
        <v>0</v>
      </c>
      <c r="L233" s="63"/>
      <c r="M233" s="29">
        <f>1.272*C179</f>
        <v>2391.042</v>
      </c>
    </row>
    <row r="234" spans="1:13" ht="21.75">
      <c r="A234" s="65" t="s">
        <v>83</v>
      </c>
      <c r="B234" s="56"/>
      <c r="C234" s="56"/>
      <c r="D234" s="56">
        <f t="shared" si="6"/>
        <v>0</v>
      </c>
      <c r="E234" s="56">
        <f t="shared" si="7"/>
        <v>242067.363335</v>
      </c>
      <c r="F234" s="56"/>
      <c r="G234" s="56">
        <f>G201+G224+G232+G233</f>
        <v>51357.6626375</v>
      </c>
      <c r="H234" s="56"/>
      <c r="I234" s="56">
        <f>I201+I224+I232+I233</f>
        <v>58655.5060925</v>
      </c>
      <c r="J234" s="56"/>
      <c r="K234" s="56">
        <f>K201+K224+K232+K233</f>
        <v>57620.50018</v>
      </c>
      <c r="L234" s="56"/>
      <c r="M234" s="56">
        <f>M201+M224+M232+M233</f>
        <v>74433.69442500001</v>
      </c>
    </row>
    <row r="235" spans="1:13" ht="30.75" customHeight="1">
      <c r="A235" s="67" t="s">
        <v>84</v>
      </c>
      <c r="B235" s="2"/>
      <c r="C235" s="2"/>
      <c r="D235" s="2"/>
      <c r="E235" s="8">
        <f>E234/12/C179</f>
        <v>10.731363361040918</v>
      </c>
      <c r="F235" s="2"/>
      <c r="G235" s="8">
        <f>G234/3/C179</f>
        <v>9.107179613867093</v>
      </c>
      <c r="H235" s="2"/>
      <c r="I235" s="8">
        <f>I234/3/C179</f>
        <v>10.40129557875604</v>
      </c>
      <c r="J235" s="2"/>
      <c r="K235" s="8">
        <f>K234/3/C179</f>
        <v>10.21775948574722</v>
      </c>
      <c r="L235" s="2"/>
      <c r="M235" s="4">
        <f>M234/3/C179</f>
        <v>13.199218765793326</v>
      </c>
    </row>
    <row r="236" spans="1:13" ht="12.75" hidden="1">
      <c r="A236" s="69" t="s">
        <v>20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1:13" ht="17.25" customHeight="1" hidden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1:13" ht="17.25" customHeight="1">
      <c r="A238" s="69" t="s">
        <v>20</v>
      </c>
      <c r="B238" s="78"/>
      <c r="C238" s="9"/>
      <c r="D238" s="9"/>
      <c r="E238" s="71">
        <f>E184-E234</f>
        <v>-29919.95333499997</v>
      </c>
      <c r="F238" s="71"/>
      <c r="G238" s="7">
        <f>G184-G234</f>
        <v>-7515.2826375</v>
      </c>
      <c r="H238" s="7"/>
      <c r="I238" s="7">
        <f>I184-I234-7515</f>
        <v>-16909.846092499996</v>
      </c>
      <c r="J238" s="7"/>
      <c r="K238" s="7">
        <f>K184-K234-16910</f>
        <v>-11806.830180000004</v>
      </c>
      <c r="L238" s="7"/>
      <c r="M238" s="7">
        <f>M184-M234-11807</f>
        <v>-29919.99442500001</v>
      </c>
    </row>
    <row r="239" spans="1:13" ht="17.25" customHeight="1">
      <c r="A239" s="14" t="s">
        <v>24</v>
      </c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1:13" ht="17.25" customHeight="1">
      <c r="A240" s="14" t="s">
        <v>25</v>
      </c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1:13" ht="17.25" customHeight="1">
      <c r="A241" s="14" t="s">
        <v>35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1:13" ht="163.5" customHeight="1">
      <c r="A242" s="31"/>
      <c r="B242" s="31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1:13" ht="12.75">
      <c r="A243" s="79" t="s">
        <v>81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1:13" ht="12.75">
      <c r="A244" s="14" t="s">
        <v>31</v>
      </c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1:13" ht="12.75">
      <c r="A245" s="14" t="s">
        <v>41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1:13" ht="12.75">
      <c r="A246" s="14" t="s">
        <v>102</v>
      </c>
      <c r="B246" s="14"/>
      <c r="C246" s="14"/>
      <c r="D246" s="14"/>
      <c r="E246" s="14" t="s">
        <v>32</v>
      </c>
      <c r="F246" s="14"/>
      <c r="G246" s="14"/>
      <c r="H246" s="14"/>
      <c r="I246" s="14"/>
      <c r="J246" s="14"/>
      <c r="K246" s="14"/>
      <c r="L246" s="14"/>
      <c r="M246" s="14"/>
    </row>
    <row r="247" spans="1:13" ht="23.25" customHeight="1">
      <c r="A247" s="6" t="s">
        <v>0</v>
      </c>
      <c r="B247" s="151" t="s">
        <v>38</v>
      </c>
      <c r="C247" s="152"/>
      <c r="D247" s="149" t="s">
        <v>39</v>
      </c>
      <c r="E247" s="150"/>
      <c r="F247" s="149" t="s">
        <v>96</v>
      </c>
      <c r="G247" s="150"/>
      <c r="H247" s="149" t="s">
        <v>97</v>
      </c>
      <c r="I247" s="150"/>
      <c r="J247" s="149" t="s">
        <v>98</v>
      </c>
      <c r="K247" s="150"/>
      <c r="L247" s="149" t="s">
        <v>99</v>
      </c>
      <c r="M247" s="150"/>
    </row>
    <row r="248" spans="1:13" ht="12.75">
      <c r="A248" s="11" t="s">
        <v>5</v>
      </c>
      <c r="B248" s="153"/>
      <c r="C248" s="154"/>
      <c r="D248" s="6" t="s">
        <v>40</v>
      </c>
      <c r="E248" s="6" t="s">
        <v>22</v>
      </c>
      <c r="F248" s="6" t="s">
        <v>40</v>
      </c>
      <c r="G248" s="13" t="s">
        <v>22</v>
      </c>
      <c r="H248" s="2"/>
      <c r="I248" s="2"/>
      <c r="J248" s="2"/>
      <c r="K248" s="2"/>
      <c r="L248" s="2"/>
      <c r="M248" s="2"/>
    </row>
    <row r="249" spans="1:13" ht="12.75">
      <c r="A249" s="2" t="s">
        <v>1</v>
      </c>
      <c r="B249" s="2"/>
      <c r="C249" s="6">
        <v>9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2.75">
      <c r="A250" s="2" t="s">
        <v>2</v>
      </c>
      <c r="B250" s="2"/>
      <c r="C250" s="6">
        <v>3</v>
      </c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2.75">
      <c r="A251" s="2" t="s">
        <v>3</v>
      </c>
      <c r="B251" s="2"/>
      <c r="C251" s="6">
        <v>82</v>
      </c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2.75">
      <c r="A252" s="2" t="s">
        <v>4</v>
      </c>
      <c r="B252" s="6"/>
      <c r="C252" s="6">
        <v>4443.64</v>
      </c>
      <c r="D252" s="6"/>
      <c r="E252" s="6"/>
      <c r="F252" s="6"/>
      <c r="G252" s="2"/>
      <c r="H252" s="2"/>
      <c r="I252" s="2"/>
      <c r="J252" s="2"/>
      <c r="K252" s="6">
        <v>4464.21</v>
      </c>
      <c r="L252" s="2"/>
      <c r="M252" s="2"/>
    </row>
    <row r="253" spans="1:13" ht="21.75">
      <c r="A253" s="35" t="s">
        <v>6</v>
      </c>
      <c r="B253" s="11" t="s">
        <v>40</v>
      </c>
      <c r="C253" s="2" t="s">
        <v>22</v>
      </c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22.5">
      <c r="A254" s="40" t="s">
        <v>7</v>
      </c>
      <c r="B254" s="3"/>
      <c r="C254" s="6"/>
      <c r="D254" s="2">
        <f>F254+H255+J255+L255</f>
        <v>0</v>
      </c>
      <c r="E254" s="2">
        <f>G254+I254+K254+M254</f>
        <v>611894.0900000001</v>
      </c>
      <c r="F254" s="2"/>
      <c r="G254" s="2">
        <v>126609.16</v>
      </c>
      <c r="H254" s="2"/>
      <c r="I254" s="2">
        <v>160805.49</v>
      </c>
      <c r="J254" s="2"/>
      <c r="K254" s="2">
        <v>171837.27</v>
      </c>
      <c r="L254" s="2"/>
      <c r="M254" s="2">
        <v>152642.17</v>
      </c>
    </row>
    <row r="255" spans="1:13" ht="12.75">
      <c r="A255" s="41" t="s">
        <v>8</v>
      </c>
      <c r="B255" s="3"/>
      <c r="C255" s="6"/>
      <c r="D255" s="1"/>
      <c r="E255" s="1"/>
      <c r="F255" s="1"/>
      <c r="G255" s="1"/>
      <c r="H255" s="2"/>
      <c r="I255" s="2"/>
      <c r="J255" s="2"/>
      <c r="K255" s="2"/>
      <c r="L255" s="2"/>
      <c r="M255" s="2"/>
    </row>
    <row r="256" spans="1:13" ht="12.75">
      <c r="A256" s="41" t="s">
        <v>9</v>
      </c>
      <c r="B256" s="3"/>
      <c r="C256" s="6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2.75">
      <c r="A257" s="2" t="s">
        <v>10</v>
      </c>
      <c r="B257" s="80"/>
      <c r="C257" s="11"/>
      <c r="D257" s="11">
        <f>D254+D256</f>
        <v>0</v>
      </c>
      <c r="E257" s="11">
        <f>E254+E256</f>
        <v>611894.0900000001</v>
      </c>
      <c r="F257" s="11">
        <f>F254+F256</f>
        <v>0</v>
      </c>
      <c r="G257" s="11">
        <f>G254+G256</f>
        <v>126609.16</v>
      </c>
      <c r="H257" s="11"/>
      <c r="I257" s="11">
        <f>SUM(I254:I256)</f>
        <v>160805.49</v>
      </c>
      <c r="J257" s="11"/>
      <c r="K257" s="11">
        <f>SUM(K254:K256)</f>
        <v>171837.27</v>
      </c>
      <c r="L257" s="11"/>
      <c r="M257" s="11">
        <f>SUM(M254:M256)</f>
        <v>152642.17</v>
      </c>
    </row>
    <row r="258" spans="1:13" ht="21.75">
      <c r="A258" s="35" t="s">
        <v>82</v>
      </c>
      <c r="B258" s="42"/>
      <c r="C258" s="2"/>
      <c r="D258" s="2"/>
      <c r="E258" s="2"/>
      <c r="F258" s="7"/>
      <c r="G258" s="2"/>
      <c r="H258" s="2"/>
      <c r="I258" s="2"/>
      <c r="J258" s="2"/>
      <c r="K258" s="2"/>
      <c r="L258" s="2"/>
      <c r="M258" s="2"/>
    </row>
    <row r="259" spans="1:13" ht="12.75">
      <c r="A259" s="43" t="s">
        <v>11</v>
      </c>
      <c r="B259" s="44"/>
      <c r="C259" s="45"/>
      <c r="D259" s="7">
        <f>F259+H259+J259+L259</f>
        <v>0</v>
      </c>
      <c r="E259" s="7">
        <f>G259+I259+K259+M259</f>
        <v>145025.42620430002</v>
      </c>
      <c r="F259" s="45"/>
      <c r="G259" s="7">
        <f>7.99407*C252</f>
        <v>35522.7692148</v>
      </c>
      <c r="H259" s="7"/>
      <c r="I259" s="7">
        <f>9.57707*C252</f>
        <v>42557.05133480001</v>
      </c>
      <c r="J259" s="7"/>
      <c r="K259" s="7">
        <f>7.2754*K252</f>
        <v>32478.913434000002</v>
      </c>
      <c r="L259" s="7"/>
      <c r="M259" s="7">
        <f>7.72067*K252</f>
        <v>34466.6922207</v>
      </c>
    </row>
    <row r="260" spans="1:13" ht="12.75">
      <c r="A260" s="43" t="s">
        <v>12</v>
      </c>
      <c r="B260" s="46"/>
      <c r="C260" s="7"/>
      <c r="D260" s="7">
        <f aca="true" t="shared" si="9" ref="D260:D310">F260+H260+J260+L260</f>
        <v>0</v>
      </c>
      <c r="E260" s="7">
        <f aca="true" t="shared" si="10" ref="E260:E273">G260+I260+K260+M260</f>
        <v>0</v>
      </c>
      <c r="F260" s="7"/>
      <c r="G260" s="7"/>
      <c r="H260" s="7"/>
      <c r="I260" s="7"/>
      <c r="J260" s="7"/>
      <c r="K260" s="7"/>
      <c r="L260" s="7"/>
      <c r="M260" s="7"/>
    </row>
    <row r="261" spans="1:13" ht="12.75">
      <c r="A261" s="41" t="s">
        <v>13</v>
      </c>
      <c r="B261" s="46"/>
      <c r="C261" s="7"/>
      <c r="D261" s="7">
        <f t="shared" si="9"/>
        <v>0</v>
      </c>
      <c r="E261" s="7">
        <f t="shared" si="10"/>
        <v>170625.1933233</v>
      </c>
      <c r="F261" s="7"/>
      <c r="G261" s="7">
        <f>G262+G264+G265+G266+G267+G268+G269+G270+G271+G272+G273</f>
        <v>41109.0229388</v>
      </c>
      <c r="H261" s="7"/>
      <c r="I261" s="7">
        <f>I262+I264+I265+I266+I267+I268+I269+I270+I271+I272+I273</f>
        <v>46150.0849516</v>
      </c>
      <c r="J261" s="7"/>
      <c r="K261" s="7">
        <f>K262+K264+K265+K266+K267+K268+K269+K270+K271+K272+K273</f>
        <v>45597.1892429</v>
      </c>
      <c r="L261" s="7"/>
      <c r="M261" s="7">
        <f>M262+M265+M266+M267+M268+M269+M270+M271+M272+M273</f>
        <v>37768.89619</v>
      </c>
    </row>
    <row r="262" spans="1:13" ht="12.75">
      <c r="A262" s="47" t="s">
        <v>14</v>
      </c>
      <c r="B262" s="46"/>
      <c r="C262" s="71"/>
      <c r="D262" s="7">
        <f t="shared" si="9"/>
        <v>0</v>
      </c>
      <c r="E262" s="7">
        <f t="shared" si="10"/>
        <v>148135</v>
      </c>
      <c r="F262" s="7"/>
      <c r="G262" s="7">
        <v>38325</v>
      </c>
      <c r="H262" s="7"/>
      <c r="I262" s="7">
        <v>37010</v>
      </c>
      <c r="J262" s="7"/>
      <c r="K262" s="7">
        <v>39027</v>
      </c>
      <c r="L262" s="7"/>
      <c r="M262" s="7">
        <v>33773</v>
      </c>
    </row>
    <row r="263" spans="1:13" ht="12.75">
      <c r="A263" s="41" t="s">
        <v>19</v>
      </c>
      <c r="B263" s="46"/>
      <c r="C263" s="71"/>
      <c r="D263" s="7">
        <f t="shared" si="9"/>
        <v>0</v>
      </c>
      <c r="E263" s="7">
        <f t="shared" si="10"/>
        <v>93986.2</v>
      </c>
      <c r="F263" s="7"/>
      <c r="G263" s="7">
        <v>23508.2</v>
      </c>
      <c r="H263" s="7"/>
      <c r="I263" s="7">
        <v>23508</v>
      </c>
      <c r="J263" s="7"/>
      <c r="K263" s="7">
        <v>23485</v>
      </c>
      <c r="L263" s="7"/>
      <c r="M263" s="7">
        <v>23485</v>
      </c>
    </row>
    <row r="264" spans="1:13" ht="12.75">
      <c r="A264" s="41" t="s">
        <v>18</v>
      </c>
      <c r="B264" s="46"/>
      <c r="C264" s="7"/>
      <c r="D264" s="7">
        <f t="shared" si="9"/>
        <v>0</v>
      </c>
      <c r="E264" s="7">
        <f t="shared" si="10"/>
        <v>1653.49</v>
      </c>
      <c r="F264" s="7"/>
      <c r="G264" s="7">
        <v>259.28</v>
      </c>
      <c r="H264" s="7"/>
      <c r="I264" s="7">
        <v>364.9</v>
      </c>
      <c r="J264" s="7"/>
      <c r="K264" s="7">
        <v>494.12</v>
      </c>
      <c r="L264" s="7"/>
      <c r="M264" s="7">
        <v>535.19</v>
      </c>
    </row>
    <row r="265" spans="1:13" ht="12.75">
      <c r="A265" s="41" t="s">
        <v>53</v>
      </c>
      <c r="B265" s="46"/>
      <c r="C265" s="7"/>
      <c r="D265" s="7">
        <f t="shared" si="9"/>
        <v>0</v>
      </c>
      <c r="E265" s="7">
        <f t="shared" si="10"/>
        <v>8567.1669863</v>
      </c>
      <c r="F265" s="7"/>
      <c r="G265" s="7">
        <f>0.54857*C252</f>
        <v>2437.6475948</v>
      </c>
      <c r="H265" s="7"/>
      <c r="I265" s="7">
        <f>0.53049*C252</f>
        <v>2357.3065836</v>
      </c>
      <c r="J265" s="7"/>
      <c r="K265" s="7">
        <f>0.60599*K252</f>
        <v>2705.2666179000003</v>
      </c>
      <c r="L265" s="7"/>
      <c r="M265" s="7">
        <f>0.239*K252</f>
        <v>1066.94619</v>
      </c>
    </row>
    <row r="266" spans="1:13" ht="12.75">
      <c r="A266" s="41" t="s">
        <v>148</v>
      </c>
      <c r="B266" s="46"/>
      <c r="C266" s="7"/>
      <c r="D266" s="7">
        <f t="shared" si="9"/>
        <v>0</v>
      </c>
      <c r="E266" s="7">
        <f t="shared" si="10"/>
        <v>390</v>
      </c>
      <c r="F266" s="7"/>
      <c r="G266" s="7"/>
      <c r="H266" s="7"/>
      <c r="I266" s="7"/>
      <c r="J266" s="7"/>
      <c r="K266" s="7">
        <v>390</v>
      </c>
      <c r="L266" s="7"/>
      <c r="M266" s="7"/>
    </row>
    <row r="267" spans="1:13" ht="12.75">
      <c r="A267" s="41" t="s">
        <v>27</v>
      </c>
      <c r="B267" s="46"/>
      <c r="C267" s="7"/>
      <c r="D267" s="7">
        <f t="shared" si="9"/>
        <v>0</v>
      </c>
      <c r="E267" s="7">
        <f t="shared" si="10"/>
        <v>332.828636</v>
      </c>
      <c r="F267" s="7"/>
      <c r="G267" s="7"/>
      <c r="H267" s="7"/>
      <c r="I267" s="7">
        <f>0.0749*C252</f>
        <v>332.828636</v>
      </c>
      <c r="J267" s="7"/>
      <c r="K267" s="7"/>
      <c r="L267" s="7"/>
      <c r="M267" s="7"/>
    </row>
    <row r="268" spans="1:13" ht="12.75">
      <c r="A268" s="41" t="s">
        <v>36</v>
      </c>
      <c r="B268" s="46"/>
      <c r="C268" s="7"/>
      <c r="D268" s="7"/>
      <c r="E268" s="7">
        <f t="shared" si="10"/>
        <v>11599.95</v>
      </c>
      <c r="F268" s="7"/>
      <c r="G268" s="7"/>
      <c r="H268" s="7" t="s">
        <v>200</v>
      </c>
      <c r="I268" s="7">
        <v>5746</v>
      </c>
      <c r="J268" s="7" t="s">
        <v>208</v>
      </c>
      <c r="K268" s="7">
        <v>2925</v>
      </c>
      <c r="L268" s="7" t="s">
        <v>208</v>
      </c>
      <c r="M268" s="7">
        <v>2928.95</v>
      </c>
    </row>
    <row r="269" spans="1:13" ht="12.75">
      <c r="A269" s="41" t="s">
        <v>58</v>
      </c>
      <c r="B269" s="46"/>
      <c r="C269" s="7"/>
      <c r="D269" s="7">
        <f t="shared" si="9"/>
        <v>0</v>
      </c>
      <c r="E269" s="7">
        <f t="shared" si="10"/>
        <v>0</v>
      </c>
      <c r="F269" s="7"/>
      <c r="G269" s="7"/>
      <c r="H269" s="7"/>
      <c r="I269" s="7"/>
      <c r="J269" s="7"/>
      <c r="K269" s="7"/>
      <c r="L269" s="7"/>
      <c r="M269" s="7"/>
    </row>
    <row r="270" spans="1:13" ht="12.75">
      <c r="A270" s="41" t="s">
        <v>43</v>
      </c>
      <c r="B270" s="46"/>
      <c r="C270" s="7"/>
      <c r="D270" s="7">
        <f t="shared" si="9"/>
        <v>0</v>
      </c>
      <c r="E270" s="7">
        <f t="shared" si="10"/>
        <v>0</v>
      </c>
      <c r="F270" s="7"/>
      <c r="G270" s="7"/>
      <c r="H270" s="7"/>
      <c r="I270" s="7"/>
      <c r="J270" s="7"/>
      <c r="K270" s="7"/>
      <c r="L270" s="7"/>
      <c r="M270" s="7"/>
    </row>
    <row r="271" spans="1:13" ht="12.75">
      <c r="A271" s="41" t="s">
        <v>30</v>
      </c>
      <c r="B271" s="46"/>
      <c r="C271" s="7"/>
      <c r="D271" s="7">
        <f t="shared" si="9"/>
        <v>0</v>
      </c>
      <c r="E271" s="7">
        <f t="shared" si="10"/>
        <v>0</v>
      </c>
      <c r="F271" s="7"/>
      <c r="G271" s="7"/>
      <c r="H271" s="7"/>
      <c r="I271" s="7"/>
      <c r="J271" s="7"/>
      <c r="K271" s="7"/>
      <c r="L271" s="7"/>
      <c r="M271" s="7"/>
    </row>
    <row r="272" spans="1:13" ht="12.75">
      <c r="A272" s="41" t="s">
        <v>54</v>
      </c>
      <c r="B272" s="44"/>
      <c r="C272" s="45"/>
      <c r="D272" s="7">
        <f t="shared" si="9"/>
        <v>0</v>
      </c>
      <c r="E272" s="7">
        <f t="shared" si="10"/>
        <v>121.755736</v>
      </c>
      <c r="F272" s="45"/>
      <c r="G272" s="7">
        <f>0.0196*C252</f>
        <v>87.095344</v>
      </c>
      <c r="H272" s="7"/>
      <c r="I272" s="7">
        <f>0.0078*C252</f>
        <v>34.660392</v>
      </c>
      <c r="J272" s="7"/>
      <c r="K272" s="7"/>
      <c r="L272" s="7"/>
      <c r="M272" s="7"/>
    </row>
    <row r="273" spans="1:13" ht="13.5" thickBot="1">
      <c r="A273" s="48" t="s">
        <v>55</v>
      </c>
      <c r="B273" s="49"/>
      <c r="C273" s="50"/>
      <c r="D273" s="50">
        <f t="shared" si="9"/>
        <v>0</v>
      </c>
      <c r="E273" s="7">
        <f t="shared" si="10"/>
        <v>360.1919650000001</v>
      </c>
      <c r="F273" s="50"/>
      <c r="G273" s="50"/>
      <c r="H273" s="50"/>
      <c r="I273" s="50">
        <f>0.0685*C252</f>
        <v>304.38934000000006</v>
      </c>
      <c r="J273" s="50"/>
      <c r="K273" s="50">
        <f>0.0125*K252</f>
        <v>55.802625000000006</v>
      </c>
      <c r="L273" s="50"/>
      <c r="M273" s="50"/>
    </row>
    <row r="274" spans="1:13" ht="11.25" customHeight="1" thickBot="1">
      <c r="A274" s="51" t="s">
        <v>76</v>
      </c>
      <c r="B274" s="81"/>
      <c r="C274" s="83"/>
      <c r="D274" s="63">
        <f t="shared" si="9"/>
        <v>0</v>
      </c>
      <c r="E274" s="63">
        <f>E259+E261</f>
        <v>315650.6195276</v>
      </c>
      <c r="F274" s="63"/>
      <c r="G274" s="63">
        <f>G259+G261</f>
        <v>76631.79215359999</v>
      </c>
      <c r="H274" s="63"/>
      <c r="I274" s="63">
        <f>I259+I261</f>
        <v>88707.13628640001</v>
      </c>
      <c r="J274" s="63"/>
      <c r="K274" s="63">
        <f>K259+K261</f>
        <v>78076.1026769</v>
      </c>
      <c r="L274" s="63"/>
      <c r="M274" s="29">
        <f>M259+M261</f>
        <v>72235.5884107</v>
      </c>
    </row>
    <row r="275" spans="1:13" ht="21.75" customHeight="1">
      <c r="A275" s="54" t="s">
        <v>15</v>
      </c>
      <c r="B275" s="61"/>
      <c r="C275" s="56"/>
      <c r="D275" s="56">
        <f t="shared" si="9"/>
        <v>0</v>
      </c>
      <c r="E275" s="56">
        <f>G275+I275+K275+M275</f>
        <v>0</v>
      </c>
      <c r="F275" s="56"/>
      <c r="G275" s="56"/>
      <c r="H275" s="56"/>
      <c r="I275" s="56"/>
      <c r="J275" s="56"/>
      <c r="K275" s="56"/>
      <c r="L275" s="56"/>
      <c r="M275" s="56"/>
    </row>
    <row r="276" spans="1:13" ht="12.75">
      <c r="A276" s="41" t="s">
        <v>17</v>
      </c>
      <c r="B276" s="46"/>
      <c r="C276" s="7"/>
      <c r="D276" s="7">
        <f t="shared" si="9"/>
        <v>0</v>
      </c>
      <c r="E276" s="7">
        <f>G276+I276+K276+M276</f>
        <v>125927.0115475</v>
      </c>
      <c r="F276" s="7"/>
      <c r="G276" s="7">
        <f>6.73321*C252</f>
        <v>29919.9612844</v>
      </c>
      <c r="H276" s="7"/>
      <c r="I276" s="7">
        <f>7.02207*C252</f>
        <v>31203.551134800004</v>
      </c>
      <c r="J276" s="7"/>
      <c r="K276" s="7">
        <f>7.2754*K252</f>
        <v>32478.913434000002</v>
      </c>
      <c r="L276" s="7"/>
      <c r="M276" s="7">
        <f>7.24083*K252</f>
        <v>32324.5856943</v>
      </c>
    </row>
    <row r="277" spans="1:13" ht="12.75">
      <c r="A277" s="41" t="s">
        <v>293</v>
      </c>
      <c r="B277" s="46"/>
      <c r="C277" s="7"/>
      <c r="D277" s="7">
        <f t="shared" si="9"/>
        <v>0</v>
      </c>
      <c r="E277" s="7">
        <f aca="true" t="shared" si="11" ref="E277:E298">G277+I277+K277+M277</f>
        <v>5168.5</v>
      </c>
      <c r="F277" s="15"/>
      <c r="G277" s="76">
        <v>580</v>
      </c>
      <c r="H277" s="7"/>
      <c r="I277" s="7"/>
      <c r="J277" s="7"/>
      <c r="K277" s="7">
        <v>4588.5</v>
      </c>
      <c r="L277" s="7"/>
      <c r="M277" s="7"/>
    </row>
    <row r="278" spans="1:13" ht="12.75">
      <c r="A278" s="41" t="s">
        <v>67</v>
      </c>
      <c r="B278" s="46"/>
      <c r="C278" s="7"/>
      <c r="D278" s="7">
        <f t="shared" si="9"/>
        <v>0</v>
      </c>
      <c r="E278" s="7">
        <f t="shared" si="11"/>
        <v>12195.5</v>
      </c>
      <c r="F278" s="7"/>
      <c r="G278" s="7">
        <v>4088.5</v>
      </c>
      <c r="H278" s="7"/>
      <c r="I278" s="7">
        <v>1332</v>
      </c>
      <c r="J278" s="7"/>
      <c r="K278" s="7">
        <v>2080</v>
      </c>
      <c r="L278" s="7"/>
      <c r="M278" s="7">
        <v>4695</v>
      </c>
    </row>
    <row r="279" spans="1:13" ht="12.75">
      <c r="A279" s="41" t="s">
        <v>68</v>
      </c>
      <c r="B279" s="46"/>
      <c r="C279" s="7"/>
      <c r="D279" s="7">
        <f t="shared" si="9"/>
        <v>0</v>
      </c>
      <c r="E279" s="7">
        <f t="shared" si="11"/>
        <v>1776</v>
      </c>
      <c r="F279" s="7"/>
      <c r="G279" s="7"/>
      <c r="H279" s="7"/>
      <c r="I279" s="7">
        <v>834</v>
      </c>
      <c r="J279" s="7"/>
      <c r="K279" s="7">
        <v>263</v>
      </c>
      <c r="L279" s="7"/>
      <c r="M279" s="7">
        <v>679</v>
      </c>
    </row>
    <row r="280" spans="1:13" ht="12.75">
      <c r="A280" s="41" t="s">
        <v>69</v>
      </c>
      <c r="B280" s="46"/>
      <c r="C280" s="7"/>
      <c r="D280" s="7">
        <f t="shared" si="9"/>
        <v>0</v>
      </c>
      <c r="E280" s="7">
        <f t="shared" si="11"/>
        <v>400</v>
      </c>
      <c r="F280" s="7"/>
      <c r="G280" s="7">
        <v>400</v>
      </c>
      <c r="H280" s="7"/>
      <c r="I280" s="7"/>
      <c r="J280" s="7"/>
      <c r="K280" s="7"/>
      <c r="L280" s="7"/>
      <c r="M280" s="7"/>
    </row>
    <row r="281" spans="1:13" ht="12.75">
      <c r="A281" s="41" t="s">
        <v>26</v>
      </c>
      <c r="B281" s="46"/>
      <c r="C281" s="7"/>
      <c r="D281" s="7">
        <f t="shared" si="9"/>
        <v>0</v>
      </c>
      <c r="E281" s="7">
        <f t="shared" si="11"/>
        <v>2195</v>
      </c>
      <c r="F281" s="7"/>
      <c r="G281" s="7"/>
      <c r="H281" s="7"/>
      <c r="I281" s="7"/>
      <c r="J281" s="7"/>
      <c r="K281" s="7"/>
      <c r="L281" s="7"/>
      <c r="M281" s="7">
        <v>2195</v>
      </c>
    </row>
    <row r="282" spans="1:13" ht="12.75">
      <c r="A282" s="41" t="s">
        <v>28</v>
      </c>
      <c r="B282" s="46"/>
      <c r="C282" s="7"/>
      <c r="D282" s="7">
        <f t="shared" si="9"/>
        <v>0</v>
      </c>
      <c r="E282" s="7">
        <f t="shared" si="11"/>
        <v>5673</v>
      </c>
      <c r="F282" s="7"/>
      <c r="G282" s="7">
        <v>550</v>
      </c>
      <c r="H282" s="7"/>
      <c r="I282" s="7">
        <v>255</v>
      </c>
      <c r="J282" s="7"/>
      <c r="K282" s="7"/>
      <c r="L282" s="7"/>
      <c r="M282" s="7">
        <v>4868</v>
      </c>
    </row>
    <row r="283" spans="1:13" ht="12.75">
      <c r="A283" s="41" t="s">
        <v>60</v>
      </c>
      <c r="B283" s="46"/>
      <c r="C283" s="7"/>
      <c r="D283" s="7">
        <f t="shared" si="9"/>
        <v>0</v>
      </c>
      <c r="E283" s="7">
        <f t="shared" si="11"/>
        <v>130</v>
      </c>
      <c r="F283" s="7"/>
      <c r="G283" s="7"/>
      <c r="H283" s="7"/>
      <c r="I283" s="7"/>
      <c r="J283" s="7"/>
      <c r="K283" s="7"/>
      <c r="L283" s="7"/>
      <c r="M283" s="7">
        <v>130</v>
      </c>
    </row>
    <row r="284" spans="1:13" ht="12.75">
      <c r="A284" s="41" t="s">
        <v>75</v>
      </c>
      <c r="B284" s="46"/>
      <c r="C284" s="7"/>
      <c r="D284" s="7">
        <f t="shared" si="9"/>
        <v>0</v>
      </c>
      <c r="E284" s="7">
        <f t="shared" si="11"/>
        <v>0</v>
      </c>
      <c r="F284" s="7"/>
      <c r="G284" s="7"/>
      <c r="H284" s="7"/>
      <c r="I284" s="7"/>
      <c r="J284" s="7"/>
      <c r="K284" s="7"/>
      <c r="L284" s="7"/>
      <c r="M284" s="7"/>
    </row>
    <row r="285" spans="1:13" ht="12.75">
      <c r="A285" s="41" t="s">
        <v>294</v>
      </c>
      <c r="B285" s="46"/>
      <c r="C285" s="7"/>
      <c r="D285" s="7">
        <f t="shared" si="9"/>
        <v>0</v>
      </c>
      <c r="E285" s="7">
        <f t="shared" si="11"/>
        <v>59799.79</v>
      </c>
      <c r="F285" s="7"/>
      <c r="G285" s="7"/>
      <c r="H285" s="7"/>
      <c r="I285" s="7"/>
      <c r="J285" s="7"/>
      <c r="K285" s="7">
        <v>22447</v>
      </c>
      <c r="L285" s="7"/>
      <c r="M285" s="7">
        <v>37352.79</v>
      </c>
    </row>
    <row r="286" spans="1:13" ht="12.75">
      <c r="A286" s="41" t="s">
        <v>201</v>
      </c>
      <c r="B286" s="46"/>
      <c r="C286" s="7"/>
      <c r="D286" s="7">
        <f t="shared" si="9"/>
        <v>0</v>
      </c>
      <c r="E286" s="7">
        <f t="shared" si="11"/>
        <v>205</v>
      </c>
      <c r="F286" s="7"/>
      <c r="G286" s="7"/>
      <c r="H286" s="7"/>
      <c r="I286" s="7">
        <v>95</v>
      </c>
      <c r="J286" s="7"/>
      <c r="K286" s="7"/>
      <c r="L286" s="7"/>
      <c r="M286" s="7">
        <v>110</v>
      </c>
    </row>
    <row r="287" spans="1:13" ht="12.75">
      <c r="A287" s="41" t="s">
        <v>202</v>
      </c>
      <c r="B287" s="46"/>
      <c r="C287" s="7"/>
      <c r="D287" s="7">
        <f t="shared" si="9"/>
        <v>0</v>
      </c>
      <c r="E287" s="7">
        <f t="shared" si="11"/>
        <v>2207</v>
      </c>
      <c r="F287" s="7"/>
      <c r="G287" s="7"/>
      <c r="H287" s="7"/>
      <c r="I287" s="7">
        <v>2207</v>
      </c>
      <c r="J287" s="7"/>
      <c r="K287" s="7"/>
      <c r="L287" s="7"/>
      <c r="M287" s="7"/>
    </row>
    <row r="288" spans="1:13" ht="12.75">
      <c r="A288" s="41" t="s">
        <v>51</v>
      </c>
      <c r="B288" s="46"/>
      <c r="C288" s="7"/>
      <c r="D288" s="7">
        <f t="shared" si="9"/>
        <v>0</v>
      </c>
      <c r="E288" s="7">
        <f t="shared" si="11"/>
        <v>2090.55</v>
      </c>
      <c r="F288" s="7"/>
      <c r="G288" s="7"/>
      <c r="H288" s="7"/>
      <c r="I288" s="7">
        <v>2090.55</v>
      </c>
      <c r="J288" s="7"/>
      <c r="K288" s="7"/>
      <c r="L288" s="7"/>
      <c r="M288" s="7"/>
    </row>
    <row r="289" spans="1:13" ht="12.75">
      <c r="A289" s="58" t="s">
        <v>52</v>
      </c>
      <c r="B289" s="46"/>
      <c r="C289" s="7"/>
      <c r="D289" s="7">
        <f t="shared" si="9"/>
        <v>0</v>
      </c>
      <c r="E289" s="7">
        <f t="shared" si="11"/>
        <v>0</v>
      </c>
      <c r="F289" s="7"/>
      <c r="G289" s="7"/>
      <c r="H289" s="7"/>
      <c r="I289" s="7"/>
      <c r="J289" s="7"/>
      <c r="K289" s="7"/>
      <c r="L289" s="7"/>
      <c r="M289" s="7"/>
    </row>
    <row r="290" spans="1:13" ht="12.75">
      <c r="A290" s="41" t="s">
        <v>399</v>
      </c>
      <c r="B290" s="46"/>
      <c r="C290" s="7"/>
      <c r="D290" s="7">
        <f t="shared" si="9"/>
        <v>0</v>
      </c>
      <c r="E290" s="7">
        <f t="shared" si="11"/>
        <v>1550</v>
      </c>
      <c r="F290" s="7"/>
      <c r="G290" s="7"/>
      <c r="H290" s="7"/>
      <c r="I290" s="7"/>
      <c r="J290" s="7"/>
      <c r="K290" s="7"/>
      <c r="L290" s="7"/>
      <c r="M290" s="7">
        <v>1550</v>
      </c>
    </row>
    <row r="291" spans="1:13" ht="12.75">
      <c r="A291" s="41" t="s">
        <v>203</v>
      </c>
      <c r="B291" s="46"/>
      <c r="C291" s="7"/>
      <c r="D291" s="7">
        <f t="shared" si="9"/>
        <v>0</v>
      </c>
      <c r="E291" s="7">
        <f t="shared" si="11"/>
        <v>1082</v>
      </c>
      <c r="F291" s="7"/>
      <c r="G291" s="7"/>
      <c r="H291" s="7"/>
      <c r="I291" s="7">
        <v>1082</v>
      </c>
      <c r="J291" s="7"/>
      <c r="K291" s="7"/>
      <c r="L291" s="7"/>
      <c r="M291" s="7"/>
    </row>
    <row r="292" spans="1:13" ht="12.75">
      <c r="A292" s="41" t="s">
        <v>57</v>
      </c>
      <c r="B292" s="46"/>
      <c r="C292" s="7"/>
      <c r="D292" s="7">
        <f t="shared" si="9"/>
        <v>0</v>
      </c>
      <c r="E292" s="7">
        <f t="shared" si="11"/>
        <v>31.549844000000004</v>
      </c>
      <c r="F292" s="7"/>
      <c r="G292" s="7"/>
      <c r="H292" s="7"/>
      <c r="I292" s="7">
        <f>0.0071*C252</f>
        <v>31.549844000000004</v>
      </c>
      <c r="J292" s="7"/>
      <c r="K292" s="7"/>
      <c r="L292" s="7"/>
      <c r="M292" s="7"/>
    </row>
    <row r="293" spans="1:13" ht="12.75">
      <c r="A293" s="41" t="s">
        <v>33</v>
      </c>
      <c r="B293" s="44"/>
      <c r="C293" s="45"/>
      <c r="D293" s="7">
        <f t="shared" si="9"/>
        <v>0</v>
      </c>
      <c r="E293" s="7">
        <f t="shared" si="11"/>
        <v>3795.77</v>
      </c>
      <c r="F293" s="45"/>
      <c r="G293" s="7"/>
      <c r="H293" s="7"/>
      <c r="I293" s="7"/>
      <c r="J293" s="7"/>
      <c r="K293" s="7">
        <v>1871</v>
      </c>
      <c r="L293" s="7"/>
      <c r="M293" s="7">
        <v>1924.77</v>
      </c>
    </row>
    <row r="294" spans="1:13" ht="12.75">
      <c r="A294" s="41" t="s">
        <v>50</v>
      </c>
      <c r="B294" s="46"/>
      <c r="C294" s="7"/>
      <c r="D294" s="7">
        <f t="shared" si="9"/>
        <v>0</v>
      </c>
      <c r="E294" s="7">
        <f t="shared" si="11"/>
        <v>4877.575195</v>
      </c>
      <c r="F294" s="7"/>
      <c r="G294" s="7">
        <f>0.2455*C252</f>
        <v>1090.91362</v>
      </c>
      <c r="H294" s="7"/>
      <c r="I294" s="7">
        <f>0.5802*C252</f>
        <v>2578.1999280000005</v>
      </c>
      <c r="J294" s="7"/>
      <c r="K294" s="7">
        <f>0.1437*K252</f>
        <v>641.506977</v>
      </c>
      <c r="L294" s="7"/>
      <c r="M294" s="7">
        <f>0.127*K252</f>
        <v>566.95467</v>
      </c>
    </row>
    <row r="295" spans="1:13" ht="12.75">
      <c r="A295" s="41" t="s">
        <v>54</v>
      </c>
      <c r="B295" s="46"/>
      <c r="C295" s="7"/>
      <c r="D295" s="7">
        <f t="shared" si="9"/>
        <v>0</v>
      </c>
      <c r="E295" s="7">
        <f t="shared" si="11"/>
        <v>102.67683</v>
      </c>
      <c r="F295" s="7"/>
      <c r="G295" s="7"/>
      <c r="H295" s="7"/>
      <c r="I295" s="7"/>
      <c r="J295" s="7"/>
      <c r="K295" s="7">
        <f>0.011*K252</f>
        <v>49.10631</v>
      </c>
      <c r="L295" s="7"/>
      <c r="M295" s="7">
        <f>0.012*K252</f>
        <v>53.57052</v>
      </c>
    </row>
    <row r="296" spans="1:13" ht="12.75">
      <c r="A296" s="48" t="s">
        <v>207</v>
      </c>
      <c r="B296" s="49"/>
      <c r="C296" s="50"/>
      <c r="D296" s="50"/>
      <c r="E296" s="7">
        <f t="shared" si="11"/>
        <v>5395</v>
      </c>
      <c r="F296" s="50"/>
      <c r="G296" s="50"/>
      <c r="H296" s="50"/>
      <c r="I296" s="50"/>
      <c r="J296" s="50"/>
      <c r="K296" s="50">
        <v>5395</v>
      </c>
      <c r="L296" s="50"/>
      <c r="M296" s="50"/>
    </row>
    <row r="297" spans="1:13" ht="12.75">
      <c r="A297" s="48" t="s">
        <v>400</v>
      </c>
      <c r="B297" s="49"/>
      <c r="C297" s="50"/>
      <c r="D297" s="50"/>
      <c r="E297" s="7">
        <f t="shared" si="11"/>
        <v>10955</v>
      </c>
      <c r="F297" s="50"/>
      <c r="G297" s="50"/>
      <c r="H297" s="50"/>
      <c r="I297" s="50"/>
      <c r="J297" s="50"/>
      <c r="K297" s="50"/>
      <c r="L297" s="50"/>
      <c r="M297" s="50">
        <v>10955</v>
      </c>
    </row>
    <row r="298" spans="1:13" ht="13.5" thickBot="1">
      <c r="A298" s="48" t="s">
        <v>205</v>
      </c>
      <c r="B298" s="49"/>
      <c r="C298" s="50"/>
      <c r="D298" s="50">
        <f t="shared" si="9"/>
        <v>0</v>
      </c>
      <c r="E298" s="7">
        <f t="shared" si="11"/>
        <v>18171</v>
      </c>
      <c r="F298" s="50"/>
      <c r="G298" s="50">
        <v>17201</v>
      </c>
      <c r="H298" s="50"/>
      <c r="I298" s="50">
        <v>970</v>
      </c>
      <c r="J298" s="50"/>
      <c r="K298" s="50"/>
      <c r="L298" s="50"/>
      <c r="M298" s="50"/>
    </row>
    <row r="299" spans="1:13" ht="13.5" thickBot="1">
      <c r="A299" s="59" t="s">
        <v>10</v>
      </c>
      <c r="B299" s="81"/>
      <c r="C299" s="63"/>
      <c r="D299" s="63">
        <f t="shared" si="9"/>
        <v>0</v>
      </c>
      <c r="E299" s="63">
        <f>SUM(E276:E298)</f>
        <v>263727.9234165</v>
      </c>
      <c r="F299" s="63"/>
      <c r="G299" s="63">
        <f>SUM(G276:G298)</f>
        <v>53830.3749044</v>
      </c>
      <c r="H299" s="63"/>
      <c r="I299" s="63">
        <f>SUM(I276:I298)</f>
        <v>42678.850906800006</v>
      </c>
      <c r="J299" s="63"/>
      <c r="K299" s="63">
        <f>SUM(K276:K298)</f>
        <v>69814.026721</v>
      </c>
      <c r="L299" s="63"/>
      <c r="M299" s="29">
        <f>SUM(M276:M298)</f>
        <v>97404.6708843</v>
      </c>
    </row>
    <row r="300" spans="1:13" ht="12.75">
      <c r="A300" s="60" t="s">
        <v>42</v>
      </c>
      <c r="B300" s="61"/>
      <c r="C300" s="56"/>
      <c r="D300" s="56">
        <f t="shared" si="9"/>
        <v>0</v>
      </c>
      <c r="E300" s="56">
        <f>G300+I300+K300+M300</f>
        <v>0</v>
      </c>
      <c r="F300" s="56"/>
      <c r="G300" s="56"/>
      <c r="H300" s="56"/>
      <c r="I300" s="56"/>
      <c r="J300" s="56"/>
      <c r="K300" s="56"/>
      <c r="L300" s="56"/>
      <c r="M300" s="56"/>
    </row>
    <row r="301" spans="1:13" ht="12.75">
      <c r="A301" s="41" t="s">
        <v>56</v>
      </c>
      <c r="B301" s="46"/>
      <c r="C301" s="7"/>
      <c r="D301" s="7">
        <f t="shared" si="9"/>
        <v>0</v>
      </c>
      <c r="E301" s="7">
        <f>G301+I301+K301+M301</f>
        <v>0</v>
      </c>
      <c r="F301" s="7"/>
      <c r="G301" s="7"/>
      <c r="H301" s="7"/>
      <c r="I301" s="7"/>
      <c r="J301" s="7"/>
      <c r="K301" s="7"/>
      <c r="L301" s="7"/>
      <c r="M301" s="7"/>
    </row>
    <row r="302" spans="1:13" ht="12.75">
      <c r="A302" s="41" t="s">
        <v>382</v>
      </c>
      <c r="B302" s="46"/>
      <c r="C302" s="7"/>
      <c r="D302" s="7"/>
      <c r="E302" s="7">
        <f aca="true" t="shared" si="12" ref="E302:E307">G302+I302+K302+M302</f>
        <v>267.2</v>
      </c>
      <c r="F302" s="7"/>
      <c r="G302" s="7"/>
      <c r="H302" s="7"/>
      <c r="I302" s="7"/>
      <c r="J302" s="7"/>
      <c r="K302" s="7"/>
      <c r="L302" s="7"/>
      <c r="M302" s="7">
        <v>267.2</v>
      </c>
    </row>
    <row r="303" spans="1:13" ht="12.75">
      <c r="A303" s="41" t="s">
        <v>204</v>
      </c>
      <c r="B303" s="46"/>
      <c r="C303" s="7"/>
      <c r="D303" s="7"/>
      <c r="E303" s="7">
        <f t="shared" si="12"/>
        <v>0</v>
      </c>
      <c r="F303" s="7"/>
      <c r="G303" s="7"/>
      <c r="H303" s="7"/>
      <c r="I303" s="7"/>
      <c r="J303" s="7"/>
      <c r="K303" s="7"/>
      <c r="L303" s="7"/>
      <c r="M303" s="7"/>
    </row>
    <row r="304" spans="1:13" ht="12.75">
      <c r="A304" s="41" t="s">
        <v>206</v>
      </c>
      <c r="B304" s="46"/>
      <c r="C304" s="7"/>
      <c r="D304" s="7"/>
      <c r="E304" s="7">
        <f t="shared" si="12"/>
        <v>1206</v>
      </c>
      <c r="F304" s="7"/>
      <c r="G304" s="7"/>
      <c r="H304" s="7"/>
      <c r="I304" s="7"/>
      <c r="J304" s="7"/>
      <c r="K304" s="7">
        <v>1206</v>
      </c>
      <c r="L304" s="7"/>
      <c r="M304" s="7"/>
    </row>
    <row r="305" spans="1:13" ht="12.75">
      <c r="A305" s="41" t="s">
        <v>138</v>
      </c>
      <c r="B305" s="46"/>
      <c r="C305" s="7"/>
      <c r="D305" s="7">
        <f t="shared" si="9"/>
        <v>0</v>
      </c>
      <c r="E305" s="7">
        <f t="shared" si="12"/>
        <v>615</v>
      </c>
      <c r="F305" s="7"/>
      <c r="G305" s="7">
        <v>365</v>
      </c>
      <c r="H305" s="7"/>
      <c r="I305" s="7">
        <v>0</v>
      </c>
      <c r="J305" s="7"/>
      <c r="K305" s="7"/>
      <c r="L305" s="7"/>
      <c r="M305" s="7">
        <v>250</v>
      </c>
    </row>
    <row r="306" spans="1:13" ht="12.75">
      <c r="A306" s="48" t="s">
        <v>93</v>
      </c>
      <c r="B306" s="46"/>
      <c r="C306" s="7"/>
      <c r="D306" s="7">
        <f t="shared" si="9"/>
        <v>0</v>
      </c>
      <c r="E306" s="7">
        <f t="shared" si="12"/>
        <v>11340</v>
      </c>
      <c r="F306" s="7"/>
      <c r="G306" s="7">
        <v>11340</v>
      </c>
      <c r="H306" s="7"/>
      <c r="I306" s="7">
        <v>0</v>
      </c>
      <c r="J306" s="7"/>
      <c r="K306" s="7"/>
      <c r="L306" s="7"/>
      <c r="M306" s="7"/>
    </row>
    <row r="307" spans="1:13" ht="13.5" thickBot="1">
      <c r="A307" s="48" t="s">
        <v>16</v>
      </c>
      <c r="B307" s="49"/>
      <c r="C307" s="50"/>
      <c r="D307" s="50">
        <f t="shared" si="9"/>
        <v>0</v>
      </c>
      <c r="E307" s="7">
        <f t="shared" si="12"/>
        <v>699.640828</v>
      </c>
      <c r="F307" s="50"/>
      <c r="G307" s="50"/>
      <c r="H307" s="50"/>
      <c r="I307" s="50"/>
      <c r="J307" s="50"/>
      <c r="K307" s="50">
        <v>580</v>
      </c>
      <c r="L307" s="50"/>
      <c r="M307" s="50">
        <f>0.0268*K252</f>
        <v>119.640828</v>
      </c>
    </row>
    <row r="308" spans="1:13" ht="13.5" thickBot="1">
      <c r="A308" s="62" t="s">
        <v>10</v>
      </c>
      <c r="B308" s="52"/>
      <c r="C308" s="53"/>
      <c r="D308" s="63">
        <f t="shared" si="9"/>
        <v>0</v>
      </c>
      <c r="E308" s="63">
        <f>SUM(E301:E307)</f>
        <v>14127.840828</v>
      </c>
      <c r="F308" s="53"/>
      <c r="G308" s="63">
        <f>SUM(G301:G307)</f>
        <v>11705</v>
      </c>
      <c r="H308" s="63"/>
      <c r="I308" s="63">
        <f>SUM(I301:I307)</f>
        <v>0</v>
      </c>
      <c r="J308" s="63"/>
      <c r="K308" s="63">
        <f>SUM(K301:K307)</f>
        <v>1786</v>
      </c>
      <c r="L308" s="63"/>
      <c r="M308" s="29">
        <f>SUM(M301:M307)</f>
        <v>636.8408280000001</v>
      </c>
    </row>
    <row r="309" spans="1:13" ht="13.5" thickBot="1">
      <c r="A309" s="64" t="s">
        <v>29</v>
      </c>
      <c r="B309" s="52"/>
      <c r="C309" s="53"/>
      <c r="D309" s="63">
        <f t="shared" si="9"/>
        <v>0</v>
      </c>
      <c r="E309" s="63">
        <f>G309+I309+K309+M309</f>
        <v>10214.098468</v>
      </c>
      <c r="F309" s="63"/>
      <c r="G309" s="63">
        <f>0.4236*C252</f>
        <v>1882.325904</v>
      </c>
      <c r="H309" s="63"/>
      <c r="I309" s="63">
        <f>0.5971*C252</f>
        <v>2653.297444</v>
      </c>
      <c r="J309" s="63"/>
      <c r="K309" s="63">
        <v>0</v>
      </c>
      <c r="L309" s="63"/>
      <c r="M309" s="29">
        <f>1.272*K252</f>
        <v>5678.47512</v>
      </c>
    </row>
    <row r="310" spans="1:13" ht="21.75">
      <c r="A310" s="65" t="s">
        <v>83</v>
      </c>
      <c r="B310" s="55"/>
      <c r="C310" s="66"/>
      <c r="D310" s="56">
        <f t="shared" si="9"/>
        <v>0</v>
      </c>
      <c r="E310" s="56">
        <f>E274+E299+E308+E309</f>
        <v>603720.4822400999</v>
      </c>
      <c r="F310" s="66"/>
      <c r="G310" s="56">
        <f>G274+G299+G308+G309</f>
        <v>144049.492962</v>
      </c>
      <c r="H310" s="56"/>
      <c r="I310" s="56">
        <f>I274+I299+I308+I309</f>
        <v>134039.2846372</v>
      </c>
      <c r="J310" s="56"/>
      <c r="K310" s="56">
        <f>K274+K299+K308+K309</f>
        <v>149676.12939790002</v>
      </c>
      <c r="L310" s="56"/>
      <c r="M310" s="56">
        <f>M274+M299+M308+M309</f>
        <v>175955.57524299997</v>
      </c>
    </row>
    <row r="311" spans="1:13" ht="33.75">
      <c r="A311" s="67" t="s">
        <v>84</v>
      </c>
      <c r="B311" s="68"/>
      <c r="C311" s="9"/>
      <c r="D311" s="9"/>
      <c r="E311" s="9">
        <f>E310/12/C252</f>
        <v>11.321808289302236</v>
      </c>
      <c r="F311" s="8"/>
      <c r="G311" s="8">
        <f>G310/3/C252</f>
        <v>10.80566779802144</v>
      </c>
      <c r="H311" s="2"/>
      <c r="I311" s="8">
        <f>I310/3/C252</f>
        <v>10.054766260483147</v>
      </c>
      <c r="J311" s="2"/>
      <c r="K311" s="8">
        <f>K310/3/C252</f>
        <v>11.22774192613113</v>
      </c>
      <c r="L311" s="2"/>
      <c r="M311" s="4">
        <f>M310/3/K252</f>
        <v>13.138239109345959</v>
      </c>
    </row>
    <row r="312" spans="1:13" ht="12.75">
      <c r="A312" s="69" t="s">
        <v>20</v>
      </c>
      <c r="B312" s="70"/>
      <c r="C312" s="71"/>
      <c r="D312" s="7"/>
      <c r="E312" s="7">
        <f>E257-E310</f>
        <v>8173.607759900158</v>
      </c>
      <c r="F312" s="7"/>
      <c r="G312" s="7">
        <f>G257-G310</f>
        <v>-17440.332961999986</v>
      </c>
      <c r="H312" s="2"/>
      <c r="I312" s="7">
        <f>I257-I310-17440</f>
        <v>9326.205362799985</v>
      </c>
      <c r="J312" s="2"/>
      <c r="K312" s="7">
        <f>K257-K310+I312</f>
        <v>31487.345964899956</v>
      </c>
      <c r="L312" s="2"/>
      <c r="M312" s="75">
        <f>M257-M310+K312</f>
        <v>8173.940721899999</v>
      </c>
    </row>
    <row r="313" spans="1:13" ht="12.75">
      <c r="A313" s="14" t="s">
        <v>24</v>
      </c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1:13" ht="12.75">
      <c r="A314" s="14" t="s">
        <v>35</v>
      </c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1:13" ht="12.75">
      <c r="A315" s="14" t="s">
        <v>25</v>
      </c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1:13" ht="149.2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1:13" ht="22.5" customHeight="1" hidden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1:13" ht="12.75">
      <c r="A318" s="31" t="s">
        <v>21</v>
      </c>
      <c r="B318" s="31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1:13" ht="12.75">
      <c r="A319" s="14" t="s">
        <v>31</v>
      </c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1:13" ht="12.75">
      <c r="A320" s="14" t="s">
        <v>41</v>
      </c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1:13" ht="12.75">
      <c r="A321" s="14" t="s">
        <v>103</v>
      </c>
      <c r="B321" s="14"/>
      <c r="C321" s="14"/>
      <c r="D321" s="14"/>
      <c r="E321" s="14" t="s">
        <v>32</v>
      </c>
      <c r="F321" s="14"/>
      <c r="G321" s="14"/>
      <c r="H321" s="14"/>
      <c r="I321" s="14"/>
      <c r="J321" s="14"/>
      <c r="K321" s="14"/>
      <c r="L321" s="14"/>
      <c r="M321" s="14"/>
    </row>
    <row r="322" spans="1:13" ht="25.5" customHeight="1">
      <c r="A322" s="6" t="s">
        <v>0</v>
      </c>
      <c r="B322" s="151" t="s">
        <v>38</v>
      </c>
      <c r="C322" s="152"/>
      <c r="D322" s="149" t="s">
        <v>39</v>
      </c>
      <c r="E322" s="150"/>
      <c r="F322" s="149" t="s">
        <v>96</v>
      </c>
      <c r="G322" s="150"/>
      <c r="H322" s="149" t="s">
        <v>97</v>
      </c>
      <c r="I322" s="150"/>
      <c r="J322" s="149" t="s">
        <v>98</v>
      </c>
      <c r="K322" s="150"/>
      <c r="L322" s="149" t="s">
        <v>99</v>
      </c>
      <c r="M322" s="150"/>
    </row>
    <row r="323" spans="1:13" ht="12.75">
      <c r="A323" s="11" t="s">
        <v>5</v>
      </c>
      <c r="B323" s="153"/>
      <c r="C323" s="154"/>
      <c r="D323" s="6" t="s">
        <v>40</v>
      </c>
      <c r="E323" s="6" t="s">
        <v>22</v>
      </c>
      <c r="F323" s="6" t="s">
        <v>40</v>
      </c>
      <c r="G323" s="13" t="s">
        <v>22</v>
      </c>
      <c r="H323" s="2"/>
      <c r="I323" s="2"/>
      <c r="J323" s="2"/>
      <c r="K323" s="2"/>
      <c r="L323" s="2"/>
      <c r="M323" s="2"/>
    </row>
    <row r="324" spans="1:13" ht="12.75">
      <c r="A324" s="2" t="s">
        <v>1</v>
      </c>
      <c r="B324" s="2"/>
      <c r="C324" s="6">
        <v>9</v>
      </c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2.75">
      <c r="A325" s="2" t="s">
        <v>2</v>
      </c>
      <c r="B325" s="2"/>
      <c r="C325" s="6">
        <v>4</v>
      </c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2.75">
      <c r="A326" s="2" t="s">
        <v>3</v>
      </c>
      <c r="B326" s="2"/>
      <c r="C326" s="6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2.75">
      <c r="A327" s="2" t="s">
        <v>4</v>
      </c>
      <c r="B327" s="6"/>
      <c r="C327" s="6">
        <v>7001.3</v>
      </c>
      <c r="D327" s="6"/>
      <c r="E327" s="4"/>
      <c r="F327" s="6"/>
      <c r="G327" s="137"/>
      <c r="I327" s="137"/>
      <c r="J327" s="2"/>
      <c r="K327" s="6">
        <v>7158.15</v>
      </c>
      <c r="L327" s="2"/>
      <c r="M327" s="2"/>
    </row>
    <row r="328" spans="1:13" ht="21.75">
      <c r="A328" s="35" t="s">
        <v>6</v>
      </c>
      <c r="B328" s="6" t="s">
        <v>40</v>
      </c>
      <c r="C328" s="2" t="s">
        <v>22</v>
      </c>
      <c r="D328" s="2"/>
      <c r="E328" s="38"/>
      <c r="F328" s="2"/>
      <c r="G328" s="2"/>
      <c r="H328" s="2"/>
      <c r="I328" s="2"/>
      <c r="J328" s="2"/>
      <c r="K328" s="8"/>
      <c r="L328" s="2"/>
      <c r="M328" s="4"/>
    </row>
    <row r="329" spans="1:13" ht="22.5">
      <c r="A329" s="40" t="s">
        <v>7</v>
      </c>
      <c r="B329" s="3"/>
      <c r="C329" s="6"/>
      <c r="D329" s="6">
        <f>F329+H330+J330+L330</f>
        <v>0</v>
      </c>
      <c r="E329" s="4">
        <f>G329+I329+K329+M329</f>
        <v>812063.31</v>
      </c>
      <c r="F329" s="2"/>
      <c r="G329" s="2">
        <v>166966.67</v>
      </c>
      <c r="H329" s="2"/>
      <c r="I329" s="2">
        <v>217743.61</v>
      </c>
      <c r="J329" s="2"/>
      <c r="K329" s="2">
        <v>215856.47</v>
      </c>
      <c r="L329" s="2"/>
      <c r="M329" s="4">
        <v>211496.56</v>
      </c>
    </row>
    <row r="330" spans="1:13" ht="12.75">
      <c r="A330" s="41" t="s">
        <v>8</v>
      </c>
      <c r="B330" s="3"/>
      <c r="C330" s="6"/>
      <c r="D330" s="1"/>
      <c r="E330" s="4"/>
      <c r="F330" s="1"/>
      <c r="G330" s="1"/>
      <c r="H330" s="2"/>
      <c r="I330" s="2"/>
      <c r="J330" s="2"/>
      <c r="K330" s="113"/>
      <c r="L330" s="2"/>
      <c r="M330" s="4"/>
    </row>
    <row r="331" spans="1:13" ht="12.75">
      <c r="A331" s="41" t="s">
        <v>9</v>
      </c>
      <c r="B331" s="3"/>
      <c r="C331" s="6"/>
      <c r="D331" s="6"/>
      <c r="E331" s="4"/>
      <c r="F331" s="2"/>
      <c r="G331" s="2"/>
      <c r="H331" s="2"/>
      <c r="I331" s="2"/>
      <c r="J331" s="2"/>
      <c r="K331" s="113"/>
      <c r="L331" s="2"/>
      <c r="M331" s="4"/>
    </row>
    <row r="332" spans="1:13" ht="12.75">
      <c r="A332" s="2" t="s">
        <v>10</v>
      </c>
      <c r="B332" s="42"/>
      <c r="C332" s="11"/>
      <c r="D332" s="37">
        <f>SUM(D329:D331)</f>
        <v>0</v>
      </c>
      <c r="E332" s="4">
        <f>G332+I332+K332+M332</f>
        <v>812063.31</v>
      </c>
      <c r="F332" s="37"/>
      <c r="G332" s="37">
        <f>SUM(G329:G331)</f>
        <v>166966.67</v>
      </c>
      <c r="H332" s="37"/>
      <c r="I332" s="37">
        <f>SUM(I329:I331)</f>
        <v>217743.61</v>
      </c>
      <c r="J332" s="37"/>
      <c r="K332" s="37">
        <f>SUM(K329:K331)</f>
        <v>215856.47</v>
      </c>
      <c r="L332" s="37"/>
      <c r="M332" s="136">
        <f>SUM(M329:M331)</f>
        <v>211496.56</v>
      </c>
    </row>
    <row r="333" spans="1:13" ht="21.75">
      <c r="A333" s="35" t="s">
        <v>82</v>
      </c>
      <c r="B333" s="42"/>
      <c r="C333" s="2"/>
      <c r="D333" s="2"/>
      <c r="E333" s="2"/>
      <c r="F333" s="2"/>
      <c r="G333" s="2"/>
      <c r="H333" s="2"/>
      <c r="I333" s="2"/>
      <c r="J333" s="2"/>
      <c r="K333" s="113"/>
      <c r="L333" s="2"/>
      <c r="M333" s="2"/>
    </row>
    <row r="334" spans="1:13" ht="12.75">
      <c r="A334" s="43" t="s">
        <v>11</v>
      </c>
      <c r="B334" s="44"/>
      <c r="C334" s="45"/>
      <c r="D334" s="45">
        <f>F334+H334+J334+L334</f>
        <v>0</v>
      </c>
      <c r="E334" s="7">
        <f>G334+I334+K334+M334</f>
        <v>230743.53550600001</v>
      </c>
      <c r="F334" s="45"/>
      <c r="G334" s="45">
        <f>7.99407*C327</f>
        <v>55968.882291</v>
      </c>
      <c r="H334" s="45"/>
      <c r="I334" s="45">
        <f>9.57707*C327</f>
        <v>67051.940191</v>
      </c>
      <c r="J334" s="45"/>
      <c r="K334" s="45">
        <f>7.32829*K327</f>
        <v>52456.9990635</v>
      </c>
      <c r="L334" s="45"/>
      <c r="M334" s="45">
        <f>7.72067*K327</f>
        <v>55265.7139605</v>
      </c>
    </row>
    <row r="335" spans="1:13" ht="12.75">
      <c r="A335" s="43" t="s">
        <v>12</v>
      </c>
      <c r="B335" s="46"/>
      <c r="C335" s="7"/>
      <c r="D335" s="7">
        <f aca="true" t="shared" si="13" ref="D335:D383">F335+H335+J335+L335</f>
        <v>0</v>
      </c>
      <c r="E335" s="7">
        <f aca="true" t="shared" si="14" ref="E335:E348">G335+I335+K335+M335</f>
        <v>0</v>
      </c>
      <c r="F335" s="7"/>
      <c r="G335" s="7"/>
      <c r="H335" s="7"/>
      <c r="I335" s="7"/>
      <c r="J335" s="7"/>
      <c r="K335" s="7"/>
      <c r="L335" s="7"/>
      <c r="M335" s="7"/>
    </row>
    <row r="336" spans="1:13" ht="12.75">
      <c r="A336" s="41" t="s">
        <v>13</v>
      </c>
      <c r="B336" s="46"/>
      <c r="C336" s="7"/>
      <c r="D336" s="7">
        <f t="shared" si="13"/>
        <v>0</v>
      </c>
      <c r="E336" s="7">
        <f t="shared" si="14"/>
        <v>260249.6093515</v>
      </c>
      <c r="F336" s="7"/>
      <c r="G336" s="7">
        <f>G337+G339+G340+G341+G342+G343+G344+G345+G346+G347+G348</f>
        <v>63888.618621</v>
      </c>
      <c r="H336" s="7"/>
      <c r="I336" s="7">
        <f>I337+I339+I340+I341+I342+I343+I344+I345+I346+I347+I348</f>
        <v>69080.70868699999</v>
      </c>
      <c r="J336" s="7"/>
      <c r="K336" s="7">
        <f>K337+K339+K340+K341+K342+K343+K344+K345+K346+K347+K348</f>
        <v>72077.45419349999</v>
      </c>
      <c r="L336" s="7"/>
      <c r="M336" s="7">
        <f>M337+M339+M340+M341+M342++M343+M344+M345+M346+M347+M348</f>
        <v>55202.82785</v>
      </c>
    </row>
    <row r="337" spans="1:13" ht="12.75">
      <c r="A337" s="47" t="s">
        <v>14</v>
      </c>
      <c r="B337" s="46"/>
      <c r="C337" s="71"/>
      <c r="D337" s="7">
        <f t="shared" si="13"/>
        <v>0</v>
      </c>
      <c r="E337" s="7">
        <f t="shared" si="14"/>
        <v>228266</v>
      </c>
      <c r="F337" s="7"/>
      <c r="G337" s="7">
        <v>59447</v>
      </c>
      <c r="H337" s="7"/>
      <c r="I337" s="7">
        <v>57375</v>
      </c>
      <c r="J337" s="7"/>
      <c r="K337" s="7">
        <v>60988</v>
      </c>
      <c r="L337" s="7"/>
      <c r="M337" s="7">
        <v>50456</v>
      </c>
    </row>
    <row r="338" spans="1:13" ht="12.75">
      <c r="A338" s="41" t="s">
        <v>19</v>
      </c>
      <c r="B338" s="46"/>
      <c r="C338" s="71"/>
      <c r="D338" s="7">
        <f t="shared" si="13"/>
        <v>0</v>
      </c>
      <c r="E338" s="7">
        <f t="shared" si="14"/>
        <v>144336</v>
      </c>
      <c r="F338" s="7"/>
      <c r="G338" s="7">
        <v>36102</v>
      </c>
      <c r="H338" s="7"/>
      <c r="I338" s="7">
        <v>36102</v>
      </c>
      <c r="J338" s="7"/>
      <c r="K338" s="7">
        <v>36066</v>
      </c>
      <c r="L338" s="7"/>
      <c r="M338" s="7">
        <v>36066</v>
      </c>
    </row>
    <row r="339" spans="1:13" ht="12.75">
      <c r="A339" s="41" t="s">
        <v>18</v>
      </c>
      <c r="B339" s="46"/>
      <c r="C339" s="7"/>
      <c r="D339" s="7">
        <f t="shared" si="13"/>
        <v>0</v>
      </c>
      <c r="E339" s="7">
        <f t="shared" si="14"/>
        <v>2650.9300000000003</v>
      </c>
      <c r="F339" s="7"/>
      <c r="G339" s="7">
        <v>415.69</v>
      </c>
      <c r="H339" s="7"/>
      <c r="I339" s="7">
        <v>585</v>
      </c>
      <c r="J339" s="7"/>
      <c r="K339" s="7">
        <v>792.21</v>
      </c>
      <c r="L339" s="7"/>
      <c r="M339" s="7">
        <v>858.03</v>
      </c>
    </row>
    <row r="340" spans="1:13" ht="12.75">
      <c r="A340" s="41" t="s">
        <v>53</v>
      </c>
      <c r="B340" s="46"/>
      <c r="C340" s="7"/>
      <c r="D340" s="7">
        <f t="shared" si="13"/>
        <v>0</v>
      </c>
      <c r="E340" s="7">
        <f t="shared" si="14"/>
        <v>13603.387946499999</v>
      </c>
      <c r="F340" s="7"/>
      <c r="G340" s="7">
        <f>0.54857*C327</f>
        <v>3840.703141</v>
      </c>
      <c r="H340" s="7"/>
      <c r="I340" s="7">
        <f>0.53049*C327</f>
        <v>3714.1196370000002</v>
      </c>
      <c r="J340" s="7"/>
      <c r="K340" s="7">
        <f>0.60599*K327</f>
        <v>4337.7673185</v>
      </c>
      <c r="L340" s="7"/>
      <c r="M340" s="7">
        <f>0.239*K327</f>
        <v>1710.79785</v>
      </c>
    </row>
    <row r="341" spans="1:13" ht="12.75">
      <c r="A341" s="41" t="s">
        <v>148</v>
      </c>
      <c r="B341" s="46"/>
      <c r="C341" s="7"/>
      <c r="D341" s="7">
        <f t="shared" si="13"/>
        <v>0</v>
      </c>
      <c r="E341" s="7">
        <f t="shared" si="14"/>
        <v>438</v>
      </c>
      <c r="F341" s="7"/>
      <c r="G341" s="7">
        <v>48</v>
      </c>
      <c r="H341" s="7"/>
      <c r="I341" s="7"/>
      <c r="J341" s="7"/>
      <c r="K341" s="7">
        <v>390</v>
      </c>
      <c r="L341" s="7"/>
      <c r="M341" s="7"/>
    </row>
    <row r="342" spans="1:13" ht="12.75">
      <c r="A342" s="41" t="s">
        <v>27</v>
      </c>
      <c r="B342" s="46"/>
      <c r="C342" s="7"/>
      <c r="D342" s="7">
        <f t="shared" si="13"/>
        <v>0</v>
      </c>
      <c r="E342" s="7">
        <f t="shared" si="14"/>
        <v>138</v>
      </c>
      <c r="F342" s="7"/>
      <c r="G342" s="7"/>
      <c r="H342" s="7"/>
      <c r="I342" s="7">
        <v>138</v>
      </c>
      <c r="J342" s="7"/>
      <c r="K342" s="7"/>
      <c r="L342" s="7"/>
      <c r="M342" s="7"/>
    </row>
    <row r="343" spans="1:13" ht="12.75">
      <c r="A343" s="41" t="s">
        <v>36</v>
      </c>
      <c r="B343" s="46"/>
      <c r="C343" s="7"/>
      <c r="D343" s="7"/>
      <c r="E343" s="7">
        <f t="shared" si="14"/>
        <v>14447</v>
      </c>
      <c r="F343" s="7"/>
      <c r="G343" s="7"/>
      <c r="H343" s="7" t="s">
        <v>213</v>
      </c>
      <c r="I343" s="7">
        <v>6789</v>
      </c>
      <c r="J343" s="14" t="s">
        <v>287</v>
      </c>
      <c r="K343" s="128">
        <v>5480</v>
      </c>
      <c r="L343" s="7" t="s">
        <v>397</v>
      </c>
      <c r="M343" s="7">
        <v>2178</v>
      </c>
    </row>
    <row r="344" spans="1:13" ht="12.75">
      <c r="A344" s="41" t="s">
        <v>58</v>
      </c>
      <c r="B344" s="46"/>
      <c r="C344" s="7"/>
      <c r="D344" s="7">
        <f t="shared" si="13"/>
        <v>0</v>
      </c>
      <c r="E344" s="7">
        <f t="shared" si="14"/>
        <v>0</v>
      </c>
      <c r="F344" s="7"/>
      <c r="G344" s="7"/>
      <c r="H344" s="7"/>
      <c r="I344" s="7"/>
      <c r="J344" s="7"/>
      <c r="K344" s="7"/>
      <c r="L344" s="7"/>
      <c r="M344" s="7"/>
    </row>
    <row r="345" spans="1:13" ht="12.75">
      <c r="A345" s="41" t="s">
        <v>43</v>
      </c>
      <c r="B345" s="46"/>
      <c r="C345" s="7"/>
      <c r="D345" s="7">
        <f t="shared" si="13"/>
        <v>0</v>
      </c>
      <c r="E345" s="7">
        <f t="shared" si="14"/>
        <v>0</v>
      </c>
      <c r="F345" s="7"/>
      <c r="G345" s="7"/>
      <c r="H345" s="7"/>
      <c r="I345" s="7"/>
      <c r="J345" s="7"/>
      <c r="K345" s="7"/>
      <c r="L345" s="7"/>
      <c r="M345" s="7"/>
    </row>
    <row r="346" spans="1:13" ht="12.75">
      <c r="A346" s="41" t="s">
        <v>30</v>
      </c>
      <c r="B346" s="46"/>
      <c r="C346" s="7"/>
      <c r="D346" s="7">
        <f t="shared" si="13"/>
        <v>0</v>
      </c>
      <c r="E346" s="7">
        <f t="shared" si="14"/>
        <v>0</v>
      </c>
      <c r="F346" s="7"/>
      <c r="G346" s="7"/>
      <c r="H346" s="7"/>
      <c r="I346" s="7"/>
      <c r="J346" s="7"/>
      <c r="K346" s="7"/>
      <c r="L346" s="7"/>
      <c r="M346" s="7"/>
    </row>
    <row r="347" spans="1:13" ht="12.75">
      <c r="A347" s="41" t="s">
        <v>54</v>
      </c>
      <c r="B347" s="44"/>
      <c r="C347" s="45"/>
      <c r="D347" s="7">
        <f t="shared" si="13"/>
        <v>0</v>
      </c>
      <c r="E347" s="7">
        <f t="shared" si="14"/>
        <v>137.22548</v>
      </c>
      <c r="F347" s="45"/>
      <c r="G347" s="7">
        <f>0.0196*C327</f>
        <v>137.22548</v>
      </c>
      <c r="H347" s="7"/>
      <c r="I347" s="7"/>
      <c r="J347" s="7"/>
      <c r="K347" s="7"/>
      <c r="L347" s="7"/>
      <c r="M347" s="7"/>
    </row>
    <row r="348" spans="1:13" ht="13.5" thickBot="1">
      <c r="A348" s="48" t="s">
        <v>55</v>
      </c>
      <c r="B348" s="49"/>
      <c r="C348" s="50"/>
      <c r="D348" s="50">
        <f t="shared" si="13"/>
        <v>0</v>
      </c>
      <c r="E348" s="7">
        <f t="shared" si="14"/>
        <v>569.0659250000001</v>
      </c>
      <c r="F348" s="50"/>
      <c r="G348" s="50"/>
      <c r="H348" s="50"/>
      <c r="I348" s="50">
        <f>0.0685*C327</f>
        <v>479.58905000000004</v>
      </c>
      <c r="J348" s="50"/>
      <c r="K348" s="50">
        <f>0.0125*K327</f>
        <v>89.476875</v>
      </c>
      <c r="L348" s="50"/>
      <c r="M348" s="50"/>
    </row>
    <row r="349" spans="1:13" ht="13.5" thickBot="1">
      <c r="A349" s="51" t="s">
        <v>76</v>
      </c>
      <c r="B349" s="81"/>
      <c r="C349" s="83"/>
      <c r="D349" s="63">
        <f t="shared" si="13"/>
        <v>0</v>
      </c>
      <c r="E349" s="63">
        <f>E334+E336</f>
        <v>490993.1448575</v>
      </c>
      <c r="F349" s="63"/>
      <c r="G349" s="63">
        <f>G334+G336</f>
        <v>119857.500912</v>
      </c>
      <c r="H349" s="63"/>
      <c r="I349" s="63">
        <f>I334+I336</f>
        <v>136132.64887799998</v>
      </c>
      <c r="J349" s="63"/>
      <c r="K349" s="63">
        <f>K334+K336</f>
        <v>124534.45325699999</v>
      </c>
      <c r="L349" s="63"/>
      <c r="M349" s="29">
        <f>M334+M336</f>
        <v>110468.5418105</v>
      </c>
    </row>
    <row r="350" spans="1:13" ht="21.75">
      <c r="A350" s="54" t="s">
        <v>15</v>
      </c>
      <c r="B350" s="61"/>
      <c r="C350" s="56"/>
      <c r="D350" s="56">
        <f t="shared" si="13"/>
        <v>0</v>
      </c>
      <c r="E350" s="56">
        <f>G350+I350+K350+M350</f>
        <v>0</v>
      </c>
      <c r="F350" s="56"/>
      <c r="G350" s="56"/>
      <c r="H350" s="56"/>
      <c r="I350" s="56"/>
      <c r="J350" s="56"/>
      <c r="K350" s="56"/>
      <c r="L350" s="56"/>
      <c r="M350" s="56"/>
    </row>
    <row r="351" spans="1:13" ht="12.75">
      <c r="A351" s="41" t="s">
        <v>17</v>
      </c>
      <c r="B351" s="46"/>
      <c r="C351" s="7"/>
      <c r="D351" s="7">
        <f t="shared" si="13"/>
        <v>0</v>
      </c>
      <c r="E351" s="7">
        <f>G351+I351+K351+M351</f>
        <v>200214.1936385</v>
      </c>
      <c r="F351" s="7"/>
      <c r="G351" s="7">
        <f>6.73321*C327</f>
        <v>47141.223173</v>
      </c>
      <c r="H351" s="7"/>
      <c r="I351" s="7">
        <f>7.02207*C327</f>
        <v>49163.618691</v>
      </c>
      <c r="J351" s="7"/>
      <c r="K351" s="7">
        <f>7.2754*K327</f>
        <v>52078.40451</v>
      </c>
      <c r="L351" s="7"/>
      <c r="M351" s="7">
        <f>7.24083*K327</f>
        <v>51830.9472645</v>
      </c>
    </row>
    <row r="352" spans="1:13" ht="12.75">
      <c r="A352" s="41" t="s">
        <v>34</v>
      </c>
      <c r="B352" s="46"/>
      <c r="C352" s="7"/>
      <c r="D352" s="7">
        <f t="shared" si="13"/>
        <v>0</v>
      </c>
      <c r="E352" s="7">
        <f aca="true" t="shared" si="15" ref="E352:E371">G352+I352+K352+M352</f>
        <v>0</v>
      </c>
      <c r="F352" s="7"/>
      <c r="G352" s="7"/>
      <c r="H352" s="7"/>
      <c r="I352" s="7"/>
      <c r="J352" s="7"/>
      <c r="K352" s="7"/>
      <c r="L352" s="7"/>
      <c r="M352" s="7"/>
    </row>
    <row r="353" spans="1:13" ht="12.75">
      <c r="A353" s="41" t="s">
        <v>376</v>
      </c>
      <c r="B353" s="46"/>
      <c r="C353" s="7"/>
      <c r="D353" s="7">
        <f t="shared" si="13"/>
        <v>0</v>
      </c>
      <c r="E353" s="7">
        <f t="shared" si="15"/>
        <v>17848</v>
      </c>
      <c r="F353" s="7"/>
      <c r="G353" s="7">
        <v>2726</v>
      </c>
      <c r="H353" s="7"/>
      <c r="I353" s="7">
        <v>697</v>
      </c>
      <c r="J353" s="7"/>
      <c r="K353" s="7">
        <v>1785</v>
      </c>
      <c r="L353" s="7"/>
      <c r="M353" s="7">
        <v>12640</v>
      </c>
    </row>
    <row r="354" spans="1:13" ht="12.75">
      <c r="A354" s="41" t="s">
        <v>68</v>
      </c>
      <c r="B354" s="46"/>
      <c r="C354" s="7"/>
      <c r="D354" s="7">
        <f t="shared" si="13"/>
        <v>0</v>
      </c>
      <c r="E354" s="7">
        <f t="shared" si="15"/>
        <v>2822</v>
      </c>
      <c r="F354" s="7"/>
      <c r="G354" s="7">
        <v>750</v>
      </c>
      <c r="H354" s="7"/>
      <c r="I354" s="7">
        <v>1964</v>
      </c>
      <c r="J354" s="7"/>
      <c r="K354" s="7"/>
      <c r="L354" s="7"/>
      <c r="M354" s="7">
        <v>108</v>
      </c>
    </row>
    <row r="355" spans="1:13" ht="12.75">
      <c r="A355" s="41" t="s">
        <v>69</v>
      </c>
      <c r="B355" s="46"/>
      <c r="C355" s="7"/>
      <c r="D355" s="7">
        <f t="shared" si="13"/>
        <v>0</v>
      </c>
      <c r="E355" s="7">
        <f t="shared" si="15"/>
        <v>1387.5</v>
      </c>
      <c r="F355" s="7"/>
      <c r="G355" s="7"/>
      <c r="H355" s="7"/>
      <c r="I355" s="7"/>
      <c r="J355" s="7"/>
      <c r="K355" s="7">
        <v>1387.5</v>
      </c>
      <c r="L355" s="7"/>
      <c r="M355" s="7"/>
    </row>
    <row r="356" spans="1:13" ht="12.75">
      <c r="A356" s="41" t="s">
        <v>26</v>
      </c>
      <c r="B356" s="46"/>
      <c r="C356" s="7"/>
      <c r="D356" s="7">
        <f t="shared" si="13"/>
        <v>0</v>
      </c>
      <c r="E356" s="7">
        <f t="shared" si="15"/>
        <v>3076.5</v>
      </c>
      <c r="F356" s="7"/>
      <c r="G356" s="7"/>
      <c r="H356" s="7"/>
      <c r="I356" s="7">
        <v>1135</v>
      </c>
      <c r="J356" s="7"/>
      <c r="K356" s="7"/>
      <c r="L356" s="7"/>
      <c r="M356" s="7">
        <v>1941.5</v>
      </c>
    </row>
    <row r="357" spans="1:13" ht="12.75">
      <c r="A357" s="41" t="s">
        <v>28</v>
      </c>
      <c r="B357" s="46"/>
      <c r="C357" s="7"/>
      <c r="D357" s="7">
        <f t="shared" si="13"/>
        <v>0</v>
      </c>
      <c r="E357" s="7">
        <f t="shared" si="15"/>
        <v>1521.5</v>
      </c>
      <c r="F357" s="7"/>
      <c r="G357" s="7"/>
      <c r="H357" s="7"/>
      <c r="I357" s="7"/>
      <c r="J357" s="7"/>
      <c r="K357" s="7"/>
      <c r="L357" s="7"/>
      <c r="M357" s="7">
        <v>1521.5</v>
      </c>
    </row>
    <row r="358" spans="1:13" ht="12.75">
      <c r="A358" s="41" t="s">
        <v>60</v>
      </c>
      <c r="B358" s="46"/>
      <c r="C358" s="7"/>
      <c r="D358" s="7">
        <f t="shared" si="13"/>
        <v>0</v>
      </c>
      <c r="E358" s="7">
        <f t="shared" si="15"/>
        <v>0</v>
      </c>
      <c r="F358" s="7"/>
      <c r="G358" s="7"/>
      <c r="H358" s="7"/>
      <c r="I358" s="7"/>
      <c r="J358" s="7"/>
      <c r="K358" s="7"/>
      <c r="L358" s="7"/>
      <c r="M358" s="7"/>
    </row>
    <row r="359" spans="1:13" ht="12.75">
      <c r="A359" s="41" t="s">
        <v>75</v>
      </c>
      <c r="B359" s="46"/>
      <c r="C359" s="7"/>
      <c r="D359" s="7">
        <f t="shared" si="13"/>
        <v>0</v>
      </c>
      <c r="E359" s="7">
        <f t="shared" si="15"/>
        <v>320</v>
      </c>
      <c r="F359" s="7"/>
      <c r="G359" s="7"/>
      <c r="H359" s="7"/>
      <c r="I359" s="7"/>
      <c r="J359" s="7"/>
      <c r="K359" s="7">
        <v>320</v>
      </c>
      <c r="L359" s="7"/>
      <c r="M359" s="7"/>
    </row>
    <row r="360" spans="1:13" ht="12.75">
      <c r="A360" s="41" t="s">
        <v>199</v>
      </c>
      <c r="B360" s="46"/>
      <c r="C360" s="7"/>
      <c r="D360" s="7">
        <f t="shared" si="13"/>
        <v>0</v>
      </c>
      <c r="E360" s="7">
        <f t="shared" si="15"/>
        <v>117025</v>
      </c>
      <c r="F360" s="7"/>
      <c r="G360" s="7"/>
      <c r="H360" s="7"/>
      <c r="I360" s="7"/>
      <c r="J360" s="7"/>
      <c r="K360" s="7">
        <v>117025</v>
      </c>
      <c r="L360" s="7"/>
      <c r="M360" s="7"/>
    </row>
    <row r="361" spans="1:13" ht="12.75">
      <c r="A361" s="41" t="s">
        <v>197</v>
      </c>
      <c r="B361" s="46"/>
      <c r="C361" s="7"/>
      <c r="D361" s="7">
        <f t="shared" si="13"/>
        <v>0</v>
      </c>
      <c r="E361" s="7">
        <f t="shared" si="15"/>
        <v>142.5</v>
      </c>
      <c r="F361" s="7"/>
      <c r="G361" s="7"/>
      <c r="H361" s="7"/>
      <c r="I361" s="7">
        <v>142.5</v>
      </c>
      <c r="J361" s="7"/>
      <c r="K361" s="7"/>
      <c r="L361" s="7"/>
      <c r="M361" s="7"/>
    </row>
    <row r="362" spans="1:13" ht="12.75">
      <c r="A362" s="41" t="s">
        <v>391</v>
      </c>
      <c r="B362" s="46"/>
      <c r="C362" s="7"/>
      <c r="D362" s="7">
        <f t="shared" si="13"/>
        <v>0</v>
      </c>
      <c r="E362" s="7">
        <f t="shared" si="15"/>
        <v>10615</v>
      </c>
      <c r="F362" s="7"/>
      <c r="G362" s="7"/>
      <c r="H362" s="7"/>
      <c r="I362" s="7"/>
      <c r="J362" s="7"/>
      <c r="K362" s="7"/>
      <c r="L362" s="7"/>
      <c r="M362" s="7">
        <v>10615</v>
      </c>
    </row>
    <row r="363" spans="1:13" ht="12.75">
      <c r="A363" s="41" t="s">
        <v>51</v>
      </c>
      <c r="B363" s="46"/>
      <c r="C363" s="7"/>
      <c r="D363" s="7">
        <f t="shared" si="13"/>
        <v>0</v>
      </c>
      <c r="E363" s="7">
        <f t="shared" si="15"/>
        <v>2692.38</v>
      </c>
      <c r="F363" s="7"/>
      <c r="G363" s="7"/>
      <c r="H363" s="7"/>
      <c r="I363" s="7">
        <v>2692.38</v>
      </c>
      <c r="J363" s="7"/>
      <c r="K363" s="7"/>
      <c r="L363" s="7"/>
      <c r="M363" s="7"/>
    </row>
    <row r="364" spans="1:13" ht="12.75">
      <c r="A364" s="58" t="s">
        <v>52</v>
      </c>
      <c r="B364" s="46"/>
      <c r="C364" s="7"/>
      <c r="D364" s="7">
        <f t="shared" si="13"/>
        <v>0</v>
      </c>
      <c r="E364" s="7">
        <f t="shared" si="15"/>
        <v>0</v>
      </c>
      <c r="F364" s="7"/>
      <c r="G364" s="7"/>
      <c r="H364" s="7"/>
      <c r="I364" s="7"/>
      <c r="J364" s="7"/>
      <c r="K364" s="7"/>
      <c r="L364" s="7"/>
      <c r="M364" s="7"/>
    </row>
    <row r="365" spans="1:13" ht="12.75">
      <c r="A365" s="41" t="s">
        <v>80</v>
      </c>
      <c r="B365" s="46"/>
      <c r="C365" s="7"/>
      <c r="D365" s="7">
        <f t="shared" si="13"/>
        <v>0</v>
      </c>
      <c r="E365" s="7">
        <f t="shared" si="15"/>
        <v>0</v>
      </c>
      <c r="F365" s="7"/>
      <c r="G365" s="7"/>
      <c r="H365" s="7"/>
      <c r="I365" s="7"/>
      <c r="J365" s="7"/>
      <c r="K365" s="7"/>
      <c r="L365" s="7"/>
      <c r="M365" s="7"/>
    </row>
    <row r="366" spans="1:13" ht="12.75">
      <c r="A366" s="58" t="s">
        <v>377</v>
      </c>
      <c r="B366" s="46"/>
      <c r="C366" s="7"/>
      <c r="D366" s="7">
        <f t="shared" si="13"/>
        <v>0</v>
      </c>
      <c r="E366" s="7">
        <f t="shared" si="15"/>
        <v>0</v>
      </c>
      <c r="F366" s="7"/>
      <c r="G366" s="7"/>
      <c r="H366" s="7"/>
      <c r="I366" s="7"/>
      <c r="J366" s="7"/>
      <c r="K366" s="7"/>
      <c r="L366" s="7"/>
      <c r="M366" s="7"/>
    </row>
    <row r="367" spans="1:13" ht="12.75">
      <c r="A367" s="41" t="s">
        <v>57</v>
      </c>
      <c r="B367" s="46"/>
      <c r="C367" s="7"/>
      <c r="D367" s="7">
        <f t="shared" si="13"/>
        <v>0</v>
      </c>
      <c r="E367" s="7">
        <f t="shared" si="15"/>
        <v>49.709230000000005</v>
      </c>
      <c r="F367" s="7"/>
      <c r="G367" s="7"/>
      <c r="H367" s="7"/>
      <c r="I367" s="7">
        <f>0.0071*C327</f>
        <v>49.709230000000005</v>
      </c>
      <c r="J367" s="7"/>
      <c r="K367" s="7"/>
      <c r="L367" s="7"/>
      <c r="M367" s="7"/>
    </row>
    <row r="368" spans="1:13" ht="12.75">
      <c r="A368" s="41" t="s">
        <v>33</v>
      </c>
      <c r="B368" s="46"/>
      <c r="C368" s="7"/>
      <c r="D368" s="7">
        <f t="shared" si="13"/>
        <v>0</v>
      </c>
      <c r="E368" s="7">
        <f t="shared" si="15"/>
        <v>3795.77</v>
      </c>
      <c r="F368" s="7"/>
      <c r="G368" s="7"/>
      <c r="H368" s="7"/>
      <c r="I368" s="7"/>
      <c r="J368" s="7"/>
      <c r="K368" s="7">
        <v>1871</v>
      </c>
      <c r="L368" s="7"/>
      <c r="M368" s="7">
        <v>1924.77</v>
      </c>
    </row>
    <row r="369" spans="1:13" ht="12.75">
      <c r="A369" s="41" t="s">
        <v>50</v>
      </c>
      <c r="B369" s="44"/>
      <c r="C369" s="45"/>
      <c r="D369" s="7">
        <f t="shared" si="13"/>
        <v>0</v>
      </c>
      <c r="E369" s="7">
        <f t="shared" si="15"/>
        <v>7718.684615</v>
      </c>
      <c r="F369" s="45"/>
      <c r="G369" s="7">
        <f>0.2455*C327</f>
        <v>1718.81915</v>
      </c>
      <c r="H369" s="7"/>
      <c r="I369" s="7">
        <f>0.5802*C327</f>
        <v>4062.1542600000002</v>
      </c>
      <c r="J369" s="7"/>
      <c r="K369" s="7">
        <f>0.1437*K327</f>
        <v>1028.626155</v>
      </c>
      <c r="L369" s="7"/>
      <c r="M369" s="7">
        <f>0.127*K327</f>
        <v>909.0850499999999</v>
      </c>
    </row>
    <row r="370" spans="1:13" ht="12.75">
      <c r="A370" s="41" t="s">
        <v>54</v>
      </c>
      <c r="B370" s="46"/>
      <c r="C370" s="7"/>
      <c r="D370" s="7">
        <f t="shared" si="13"/>
        <v>0</v>
      </c>
      <c r="E370" s="7">
        <f t="shared" si="15"/>
        <v>219.24759</v>
      </c>
      <c r="F370" s="7"/>
      <c r="G370" s="7"/>
      <c r="H370" s="7"/>
      <c r="I370" s="7">
        <f>0.0078*C327</f>
        <v>54.61014</v>
      </c>
      <c r="J370" s="7"/>
      <c r="K370" s="7">
        <f>0.011*K327</f>
        <v>78.73965</v>
      </c>
      <c r="L370" s="7"/>
      <c r="M370" s="7">
        <f>0.012*K327</f>
        <v>85.8978</v>
      </c>
    </row>
    <row r="371" spans="1:13" ht="13.5" thickBot="1">
      <c r="A371" s="48" t="s">
        <v>140</v>
      </c>
      <c r="B371" s="49"/>
      <c r="C371" s="50"/>
      <c r="D371" s="50">
        <f t="shared" si="13"/>
        <v>0</v>
      </c>
      <c r="E371" s="7">
        <f t="shared" si="15"/>
        <v>8750</v>
      </c>
      <c r="F371" s="50"/>
      <c r="G371" s="50">
        <v>8750</v>
      </c>
      <c r="H371" s="50"/>
      <c r="I371" s="50"/>
      <c r="J371" s="50"/>
      <c r="K371" s="50"/>
      <c r="L371" s="50"/>
      <c r="M371" s="50"/>
    </row>
    <row r="372" spans="1:13" ht="13.5" thickBot="1">
      <c r="A372" s="59" t="s">
        <v>10</v>
      </c>
      <c r="B372" s="81"/>
      <c r="C372" s="63"/>
      <c r="D372" s="63">
        <f t="shared" si="13"/>
        <v>0</v>
      </c>
      <c r="E372" s="63">
        <f>SUM(E351:E371)</f>
        <v>378197.98507349996</v>
      </c>
      <c r="F372" s="63"/>
      <c r="G372" s="63">
        <f>SUM(G351:G371)</f>
        <v>61086.042323</v>
      </c>
      <c r="H372" s="63"/>
      <c r="I372" s="63">
        <f>SUM(I351:I371)</f>
        <v>59960.972321</v>
      </c>
      <c r="J372" s="63"/>
      <c r="K372" s="63">
        <f>SUM(K351:K371)</f>
        <v>175574.270315</v>
      </c>
      <c r="L372" s="63"/>
      <c r="M372" s="29">
        <f>SUM(M351:M371)</f>
        <v>81576.7001145</v>
      </c>
    </row>
    <row r="373" spans="1:13" ht="12.75">
      <c r="A373" s="60" t="s">
        <v>42</v>
      </c>
      <c r="B373" s="61"/>
      <c r="C373" s="56"/>
      <c r="D373" s="56">
        <f t="shared" si="13"/>
        <v>0</v>
      </c>
      <c r="E373" s="56">
        <f aca="true" t="shared" si="16" ref="E373:E382">G373+I373+K373+M373</f>
        <v>0</v>
      </c>
      <c r="F373" s="56"/>
      <c r="G373" s="56"/>
      <c r="H373" s="56"/>
      <c r="I373" s="56"/>
      <c r="J373" s="56"/>
      <c r="K373" s="56"/>
      <c r="L373" s="56"/>
      <c r="M373" s="56"/>
    </row>
    <row r="374" spans="1:13" ht="12.75">
      <c r="A374" s="138" t="s">
        <v>390</v>
      </c>
      <c r="B374" s="61"/>
      <c r="C374" s="56"/>
      <c r="D374" s="56"/>
      <c r="E374" s="56">
        <f t="shared" si="16"/>
        <v>41481.6</v>
      </c>
      <c r="F374" s="56"/>
      <c r="G374" s="56"/>
      <c r="H374" s="56"/>
      <c r="I374" s="56"/>
      <c r="J374" s="56"/>
      <c r="K374" s="56"/>
      <c r="L374" s="56"/>
      <c r="M374" s="56">
        <v>41481.6</v>
      </c>
    </row>
    <row r="375" spans="1:13" ht="12.75">
      <c r="A375" s="41" t="s">
        <v>375</v>
      </c>
      <c r="B375" s="46"/>
      <c r="C375" s="7"/>
      <c r="D375" s="7">
        <f t="shared" si="13"/>
        <v>0</v>
      </c>
      <c r="E375" s="7">
        <f t="shared" si="16"/>
        <v>267</v>
      </c>
      <c r="F375" s="7"/>
      <c r="G375" s="7"/>
      <c r="H375" s="7"/>
      <c r="I375" s="7"/>
      <c r="J375" s="7"/>
      <c r="K375" s="7"/>
      <c r="L375" s="7"/>
      <c r="M375" s="7">
        <v>267</v>
      </c>
    </row>
    <row r="376" spans="1:13" ht="12.75">
      <c r="A376" s="41" t="s">
        <v>139</v>
      </c>
      <c r="B376" s="46"/>
      <c r="C376" s="7"/>
      <c r="D376" s="7">
        <f t="shared" si="13"/>
        <v>0</v>
      </c>
      <c r="E376" s="7">
        <f t="shared" si="16"/>
        <v>420</v>
      </c>
      <c r="F376" s="7"/>
      <c r="G376" s="7">
        <v>420</v>
      </c>
      <c r="H376" s="7"/>
      <c r="I376" s="7"/>
      <c r="J376" s="7"/>
      <c r="K376" s="7"/>
      <c r="L376" s="7"/>
      <c r="M376" s="7"/>
    </row>
    <row r="377" spans="1:13" ht="12.75">
      <c r="A377" s="41" t="s">
        <v>214</v>
      </c>
      <c r="B377" s="46"/>
      <c r="C377" s="7"/>
      <c r="D377" s="7">
        <f t="shared" si="13"/>
        <v>0</v>
      </c>
      <c r="E377" s="7">
        <f t="shared" si="16"/>
        <v>4942.31157</v>
      </c>
      <c r="F377" s="7"/>
      <c r="G377" s="7">
        <f>0.0089*C327</f>
        <v>62.31157</v>
      </c>
      <c r="H377" s="7"/>
      <c r="I377" s="7">
        <v>4880</v>
      </c>
      <c r="J377" s="7"/>
      <c r="K377" s="7"/>
      <c r="L377" s="7"/>
      <c r="M377" s="7"/>
    </row>
    <row r="378" spans="1:13" ht="12.75">
      <c r="A378" s="48" t="s">
        <v>198</v>
      </c>
      <c r="B378" s="49"/>
      <c r="C378" s="50"/>
      <c r="D378" s="50"/>
      <c r="E378" s="7">
        <f t="shared" si="16"/>
        <v>2400</v>
      </c>
      <c r="F378" s="50"/>
      <c r="G378" s="50"/>
      <c r="H378" s="50"/>
      <c r="I378" s="50"/>
      <c r="J378" s="50"/>
      <c r="K378" s="50">
        <v>2400</v>
      </c>
      <c r="L378" s="50"/>
      <c r="M378" s="50"/>
    </row>
    <row r="379" spans="1:13" ht="12.75">
      <c r="A379" s="48" t="s">
        <v>93</v>
      </c>
      <c r="B379" s="49"/>
      <c r="C379" s="50"/>
      <c r="D379" s="50">
        <f t="shared" si="13"/>
        <v>0</v>
      </c>
      <c r="E379" s="7">
        <f t="shared" si="16"/>
        <v>15120</v>
      </c>
      <c r="F379" s="50"/>
      <c r="G379" s="50">
        <v>4320</v>
      </c>
      <c r="H379" s="50"/>
      <c r="I379" s="50">
        <v>10800</v>
      </c>
      <c r="J379" s="50"/>
      <c r="K379" s="50"/>
      <c r="L379" s="50"/>
      <c r="M379" s="50"/>
    </row>
    <row r="380" spans="1:13" ht="13.5" thickBot="1">
      <c r="A380" s="124" t="s">
        <v>16</v>
      </c>
      <c r="B380" s="115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27">
        <f>0.0268*K327</f>
        <v>191.83841999999999</v>
      </c>
    </row>
    <row r="381" spans="1:13" ht="13.5" thickBot="1">
      <c r="A381" s="62" t="s">
        <v>10</v>
      </c>
      <c r="B381" s="81"/>
      <c r="C381" s="63"/>
      <c r="D381" s="63">
        <f t="shared" si="13"/>
        <v>0</v>
      </c>
      <c r="E381" s="63">
        <f t="shared" si="16"/>
        <v>64822.74999</v>
      </c>
      <c r="F381" s="63"/>
      <c r="G381" s="63">
        <f>SUM(G376:G379)</f>
        <v>4802.31157</v>
      </c>
      <c r="H381" s="63"/>
      <c r="I381" s="63">
        <f>SUM(I375:I379)</f>
        <v>15680</v>
      </c>
      <c r="J381" s="63"/>
      <c r="K381" s="63">
        <f>SUM(K375:K379)</f>
        <v>2400</v>
      </c>
      <c r="L381" s="63"/>
      <c r="M381" s="29">
        <f>SUM(M374:M380)</f>
        <v>41940.43842</v>
      </c>
    </row>
    <row r="382" spans="1:13" ht="13.5" thickBot="1">
      <c r="A382" s="64" t="s">
        <v>29</v>
      </c>
      <c r="B382" s="52"/>
      <c r="C382" s="53"/>
      <c r="D382" s="63">
        <f t="shared" si="13"/>
        <v>0</v>
      </c>
      <c r="E382" s="63">
        <f t="shared" si="16"/>
        <v>16251.39371</v>
      </c>
      <c r="F382" s="53"/>
      <c r="G382" s="63">
        <f>0.4236*C327</f>
        <v>2965.75068</v>
      </c>
      <c r="H382" s="63"/>
      <c r="I382" s="63">
        <f>0.5971*C327</f>
        <v>4180.47623</v>
      </c>
      <c r="J382" s="63"/>
      <c r="K382" s="63"/>
      <c r="L382" s="63"/>
      <c r="M382" s="29">
        <f>1.272*K327</f>
        <v>9105.166799999999</v>
      </c>
    </row>
    <row r="383" spans="1:13" ht="21.75">
      <c r="A383" s="65" t="s">
        <v>83</v>
      </c>
      <c r="B383" s="61"/>
      <c r="C383" s="66"/>
      <c r="D383" s="56">
        <f t="shared" si="13"/>
        <v>0</v>
      </c>
      <c r="E383" s="56">
        <f>G383+I383+K383+M383</f>
        <v>950265.273631</v>
      </c>
      <c r="F383" s="56"/>
      <c r="G383" s="56">
        <f>G349+G372+G381+G382</f>
        <v>188711.60548499998</v>
      </c>
      <c r="H383" s="56"/>
      <c r="I383" s="56">
        <f>I349+I372+I381+I382</f>
        <v>215954.097429</v>
      </c>
      <c r="J383" s="56"/>
      <c r="K383" s="56">
        <f>K349+K372+K381+K382</f>
        <v>302508.723572</v>
      </c>
      <c r="L383" s="56"/>
      <c r="M383" s="56">
        <f>M349+M372+M381+M382</f>
        <v>243090.84714499998</v>
      </c>
    </row>
    <row r="384" spans="1:13" ht="33.75">
      <c r="A384" s="67" t="s">
        <v>84</v>
      </c>
      <c r="B384" s="44"/>
      <c r="C384" s="45"/>
      <c r="D384" s="45"/>
      <c r="E384" s="38">
        <f>E383/12/C327</f>
        <v>11.310581292414742</v>
      </c>
      <c r="F384" s="45"/>
      <c r="G384" s="8">
        <f>G383/3/C327</f>
        <v>8.984598359590361</v>
      </c>
      <c r="H384" s="2"/>
      <c r="I384" s="4">
        <f>I383/3/C327</f>
        <v>10.28161900547041</v>
      </c>
      <c r="J384" s="2"/>
      <c r="K384" s="8">
        <f>K383/3/K327</f>
        <v>14.086913684494832</v>
      </c>
      <c r="L384" s="2"/>
      <c r="M384" s="8">
        <f>M383/K327/3</f>
        <v>11.320003406140785</v>
      </c>
    </row>
    <row r="385" spans="1:13" ht="12.75">
      <c r="A385" s="69" t="s">
        <v>20</v>
      </c>
      <c r="B385" s="78"/>
      <c r="C385" s="9"/>
      <c r="D385" s="9"/>
      <c r="E385" s="71">
        <f>E332-E383</f>
        <v>-138201.9636309999</v>
      </c>
      <c r="F385" s="9"/>
      <c r="G385" s="7">
        <f>G332-G383</f>
        <v>-21744.935484999965</v>
      </c>
      <c r="H385" s="2"/>
      <c r="I385" s="75">
        <f>I332-I383-21745</f>
        <v>-19955.487429</v>
      </c>
      <c r="J385" s="2"/>
      <c r="K385" s="7">
        <f>K332-K383-19955</f>
        <v>-106607.25357199999</v>
      </c>
      <c r="L385" s="2"/>
      <c r="M385" s="7">
        <f>M332-M383-106607</f>
        <v>-138201.28714499998</v>
      </c>
    </row>
    <row r="386" spans="1:13" ht="12.75">
      <c r="A386" s="14" t="s">
        <v>24</v>
      </c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1:13" ht="12.75">
      <c r="A387" s="14" t="s">
        <v>25</v>
      </c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1:13" ht="12.75">
      <c r="A388" s="14" t="s">
        <v>35</v>
      </c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1:13" ht="16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1:13" ht="12.75">
      <c r="A390" s="31" t="s">
        <v>21</v>
      </c>
      <c r="B390" s="31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1:13" ht="12.75">
      <c r="A391" s="14" t="s">
        <v>31</v>
      </c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1:13" ht="12.75">
      <c r="A392" s="14" t="s">
        <v>41</v>
      </c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1:13" ht="12.75">
      <c r="A393" s="14" t="s">
        <v>104</v>
      </c>
      <c r="B393" s="14"/>
      <c r="C393" s="14"/>
      <c r="D393" s="14"/>
      <c r="E393" s="14" t="s">
        <v>32</v>
      </c>
      <c r="F393" s="14"/>
      <c r="G393" s="14"/>
      <c r="H393" s="14"/>
      <c r="I393" s="14"/>
      <c r="J393" s="14"/>
      <c r="K393" s="14"/>
      <c r="L393" s="14"/>
      <c r="M393" s="14"/>
    </row>
    <row r="394" spans="1:13" ht="22.5" customHeight="1">
      <c r="A394" s="6" t="s">
        <v>0</v>
      </c>
      <c r="B394" s="151" t="s">
        <v>38</v>
      </c>
      <c r="C394" s="152"/>
      <c r="D394" s="149" t="s">
        <v>39</v>
      </c>
      <c r="E394" s="150"/>
      <c r="F394" s="149" t="s">
        <v>96</v>
      </c>
      <c r="G394" s="150"/>
      <c r="H394" s="149" t="s">
        <v>97</v>
      </c>
      <c r="I394" s="150"/>
      <c r="J394" s="149" t="s">
        <v>98</v>
      </c>
      <c r="K394" s="150"/>
      <c r="L394" s="149" t="s">
        <v>99</v>
      </c>
      <c r="M394" s="150"/>
    </row>
    <row r="395" spans="1:13" ht="12.75">
      <c r="A395" s="11" t="s">
        <v>5</v>
      </c>
      <c r="B395" s="153"/>
      <c r="C395" s="154"/>
      <c r="D395" s="6" t="s">
        <v>40</v>
      </c>
      <c r="E395" s="6" t="s">
        <v>22</v>
      </c>
      <c r="F395" s="6" t="s">
        <v>40</v>
      </c>
      <c r="G395" s="13" t="s">
        <v>22</v>
      </c>
      <c r="H395" s="2"/>
      <c r="I395" s="2"/>
      <c r="J395" s="2"/>
      <c r="K395" s="2"/>
      <c r="L395" s="2"/>
      <c r="M395" s="2"/>
    </row>
    <row r="396" spans="1:13" ht="12.75">
      <c r="A396" s="2" t="s">
        <v>1</v>
      </c>
      <c r="B396" s="2"/>
      <c r="C396" s="6">
        <v>5</v>
      </c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2.75">
      <c r="A397" s="2" t="s">
        <v>2</v>
      </c>
      <c r="B397" s="2"/>
      <c r="C397" s="6">
        <v>6</v>
      </c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2.75">
      <c r="A398" s="2" t="s">
        <v>3</v>
      </c>
      <c r="B398" s="2"/>
      <c r="C398" s="6">
        <v>60</v>
      </c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2.75">
      <c r="A399" s="2" t="s">
        <v>4</v>
      </c>
      <c r="B399" s="6"/>
      <c r="C399" s="6">
        <v>3606.62</v>
      </c>
      <c r="D399" s="6"/>
      <c r="E399" s="6"/>
      <c r="F399" s="6"/>
      <c r="G399" s="2"/>
      <c r="H399" s="2"/>
      <c r="I399" s="2"/>
      <c r="J399" s="2"/>
      <c r="K399" s="2">
        <v>3628.54</v>
      </c>
      <c r="L399" s="2"/>
      <c r="M399" s="2"/>
    </row>
    <row r="400" spans="1:13" ht="21.75">
      <c r="A400" s="35" t="s">
        <v>6</v>
      </c>
      <c r="B400" s="11" t="s">
        <v>40</v>
      </c>
      <c r="C400" s="2" t="s">
        <v>22</v>
      </c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22.5">
      <c r="A401" s="40" t="s">
        <v>7</v>
      </c>
      <c r="B401" s="3"/>
      <c r="C401" s="6"/>
      <c r="D401" s="6">
        <f>F401+H402+J402+L402</f>
        <v>0</v>
      </c>
      <c r="E401" s="4">
        <f>G401+I401+K401+M401</f>
        <v>366706.99000000005</v>
      </c>
      <c r="F401" s="2"/>
      <c r="G401" s="2">
        <v>74269.7</v>
      </c>
      <c r="H401" s="2"/>
      <c r="I401" s="4">
        <v>103377.88</v>
      </c>
      <c r="J401" s="2"/>
      <c r="K401" s="2">
        <v>94956.85</v>
      </c>
      <c r="L401" s="2"/>
      <c r="M401" s="2">
        <v>94102.56</v>
      </c>
    </row>
    <row r="402" spans="1:13" ht="12.75">
      <c r="A402" s="41" t="s">
        <v>8</v>
      </c>
      <c r="B402" s="3"/>
      <c r="C402" s="6"/>
      <c r="E402" s="4">
        <f>G402+I402+K402+M402</f>
        <v>32600</v>
      </c>
      <c r="H402" s="2"/>
      <c r="I402" s="4"/>
      <c r="J402" s="2"/>
      <c r="K402" s="2"/>
      <c r="L402" s="2"/>
      <c r="M402" s="2">
        <v>32600</v>
      </c>
    </row>
    <row r="403" spans="1:13" ht="12.75">
      <c r="A403" s="41" t="s">
        <v>9</v>
      </c>
      <c r="B403" s="3"/>
      <c r="C403" s="6"/>
      <c r="D403" s="6"/>
      <c r="E403" s="4">
        <f>G403+I403+K403+M403</f>
        <v>0</v>
      </c>
      <c r="F403" s="2"/>
      <c r="G403" s="2"/>
      <c r="H403" s="2"/>
      <c r="I403" s="4"/>
      <c r="J403" s="2"/>
      <c r="K403" s="2"/>
      <c r="L403" s="2"/>
      <c r="M403" s="2"/>
    </row>
    <row r="404" spans="1:13" ht="12.75">
      <c r="A404" s="2" t="s">
        <v>10</v>
      </c>
      <c r="B404" s="3"/>
      <c r="C404" s="11"/>
      <c r="D404" s="37">
        <f>SUM(D401:D403)</f>
        <v>0</v>
      </c>
      <c r="E404" s="4">
        <f>G404+I404+K404+M404</f>
        <v>399306.99000000005</v>
      </c>
      <c r="F404" s="37"/>
      <c r="G404" s="75">
        <f>SUM(G401:G403)</f>
        <v>74269.7</v>
      </c>
      <c r="H404" s="2"/>
      <c r="I404" s="4">
        <f>SUM(I401:I403)</f>
        <v>103377.88</v>
      </c>
      <c r="J404" s="2"/>
      <c r="K404" s="2">
        <f>SUM(K401:K403)</f>
        <v>94956.85</v>
      </c>
      <c r="L404" s="2"/>
      <c r="M404" s="2">
        <f>SUM(M401:M403)</f>
        <v>126702.56</v>
      </c>
    </row>
    <row r="405" spans="1:13" ht="21.75">
      <c r="A405" s="35" t="s">
        <v>82</v>
      </c>
      <c r="B405" s="4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2.75">
      <c r="A406" s="43" t="s">
        <v>11</v>
      </c>
      <c r="B406" s="44"/>
      <c r="C406" s="45"/>
      <c r="D406" s="7">
        <f>F406+H406+J406+L406</f>
        <v>0</v>
      </c>
      <c r="E406" s="7">
        <f>G406+I406+K406+M406</f>
        <v>117978.1782652</v>
      </c>
      <c r="F406" s="45"/>
      <c r="G406" s="7">
        <f>7.99407*C399</f>
        <v>28831.5727434</v>
      </c>
      <c r="H406" s="7"/>
      <c r="I406" s="7">
        <f>9.57707*C399</f>
        <v>34540.852203400005</v>
      </c>
      <c r="J406" s="7"/>
      <c r="K406" s="7">
        <f>7.32829*K399</f>
        <v>26590.9933966</v>
      </c>
      <c r="L406" s="7"/>
      <c r="M406" s="7">
        <f>7.72067*K399</f>
        <v>28014.7599218</v>
      </c>
    </row>
    <row r="407" spans="1:13" ht="12.75">
      <c r="A407" s="43" t="s">
        <v>12</v>
      </c>
      <c r="B407" s="46"/>
      <c r="C407" s="7"/>
      <c r="D407" s="7">
        <f aca="true" t="shared" si="17" ref="D407:D451">F407+H407+J407+L407</f>
        <v>0</v>
      </c>
      <c r="E407" s="7">
        <f aca="true" t="shared" si="18" ref="E407:E420">G407+I407+K407+M407</f>
        <v>0</v>
      </c>
      <c r="F407" s="7"/>
      <c r="G407" s="7"/>
      <c r="H407" s="7"/>
      <c r="I407" s="7"/>
      <c r="J407" s="7"/>
      <c r="K407" s="7"/>
      <c r="L407" s="7"/>
      <c r="M407" s="7"/>
    </row>
    <row r="408" spans="1:13" ht="12.75">
      <c r="A408" s="41" t="s">
        <v>13</v>
      </c>
      <c r="B408" s="46"/>
      <c r="C408" s="7"/>
      <c r="D408" s="7">
        <f t="shared" si="17"/>
        <v>0</v>
      </c>
      <c r="E408" s="7">
        <f t="shared" si="18"/>
        <v>149149.0620858</v>
      </c>
      <c r="F408" s="7"/>
      <c r="G408" s="7">
        <f>G409+G411+G412+G413+G414+G415+G416+G417+G418+G419+G420</f>
        <v>35499.334962</v>
      </c>
      <c r="H408" s="7"/>
      <c r="I408" s="7">
        <f>I409+I411+I412+I413+I414+I415+I416+I417+I418+I419+I420</f>
        <v>36873.1993138</v>
      </c>
      <c r="J408" s="7"/>
      <c r="K408" s="7">
        <f>K409+K411+K412+K413+K414+K415+K416+K417+K418+K419+K420</f>
        <v>42009.98675</v>
      </c>
      <c r="L408" s="7"/>
      <c r="M408" s="7">
        <f>M409+M411+M412+M413+M414+M415+M416+M417+M418+M419+M420</f>
        <v>34766.541059999996</v>
      </c>
    </row>
    <row r="409" spans="1:13" ht="12.75">
      <c r="A409" s="47" t="s">
        <v>14</v>
      </c>
      <c r="B409" s="46"/>
      <c r="C409" s="71"/>
      <c r="D409" s="7">
        <f t="shared" si="17"/>
        <v>0</v>
      </c>
      <c r="E409" s="7">
        <f t="shared" si="18"/>
        <v>130367</v>
      </c>
      <c r="F409" s="7"/>
      <c r="G409" s="7">
        <v>33645</v>
      </c>
      <c r="H409" s="7"/>
      <c r="I409" s="7">
        <v>32577</v>
      </c>
      <c r="J409" s="7"/>
      <c r="K409" s="7">
        <v>34231</v>
      </c>
      <c r="L409" s="7"/>
      <c r="M409" s="7">
        <v>29914</v>
      </c>
    </row>
    <row r="410" spans="1:13" ht="12.75">
      <c r="A410" s="41" t="s">
        <v>19</v>
      </c>
      <c r="B410" s="46"/>
      <c r="C410" s="71"/>
      <c r="D410" s="7">
        <f t="shared" si="17"/>
        <v>0</v>
      </c>
      <c r="E410" s="7">
        <f t="shared" si="18"/>
        <v>86434.15</v>
      </c>
      <c r="F410" s="7"/>
      <c r="G410" s="7">
        <v>21619.15</v>
      </c>
      <c r="H410" s="7"/>
      <c r="I410" s="7">
        <v>21619</v>
      </c>
      <c r="J410" s="7"/>
      <c r="K410" s="7">
        <v>21598</v>
      </c>
      <c r="L410" s="7"/>
      <c r="M410" s="7">
        <v>21598</v>
      </c>
    </row>
    <row r="411" spans="1:13" ht="12.75">
      <c r="A411" s="41" t="s">
        <v>18</v>
      </c>
      <c r="B411" s="46"/>
      <c r="C411" s="7"/>
      <c r="D411" s="7">
        <f t="shared" si="17"/>
        <v>0</v>
      </c>
      <c r="E411" s="7">
        <f t="shared" si="18"/>
        <v>1340.66</v>
      </c>
      <c r="F411" s="7"/>
      <c r="G411" s="7">
        <v>210.22</v>
      </c>
      <c r="H411" s="7"/>
      <c r="I411" s="7">
        <v>295.87</v>
      </c>
      <c r="J411" s="7"/>
      <c r="K411" s="7">
        <v>400.63</v>
      </c>
      <c r="L411" s="7"/>
      <c r="M411" s="7">
        <v>433.94</v>
      </c>
    </row>
    <row r="412" spans="1:13" ht="12.75">
      <c r="A412" s="41" t="s">
        <v>53</v>
      </c>
      <c r="B412" s="46"/>
      <c r="C412" s="7"/>
      <c r="D412" s="7">
        <f t="shared" si="17"/>
        <v>0</v>
      </c>
      <c r="E412" s="7">
        <f t="shared" si="18"/>
        <v>7729.922113799999</v>
      </c>
      <c r="F412" s="7"/>
      <c r="G412" s="7">
        <f>0.2455*C399</f>
        <v>885.42521</v>
      </c>
      <c r="H412" s="7"/>
      <c r="I412" s="7">
        <f>0.53049*C399</f>
        <v>1913.2758438</v>
      </c>
      <c r="J412" s="7"/>
      <c r="K412" s="7">
        <v>4064</v>
      </c>
      <c r="L412" s="7"/>
      <c r="M412" s="7">
        <f>0.239*K399</f>
        <v>867.22106</v>
      </c>
    </row>
    <row r="413" spans="1:13" ht="12.75">
      <c r="A413" s="41" t="s">
        <v>148</v>
      </c>
      <c r="B413" s="46"/>
      <c r="C413" s="7"/>
      <c r="D413" s="7">
        <f t="shared" si="17"/>
        <v>0</v>
      </c>
      <c r="E413" s="7">
        <f t="shared" si="18"/>
        <v>1138</v>
      </c>
      <c r="F413" s="7"/>
      <c r="G413" s="7">
        <v>688</v>
      </c>
      <c r="H413" s="7"/>
      <c r="I413" s="7">
        <v>450</v>
      </c>
      <c r="J413" s="7"/>
      <c r="K413" s="7"/>
      <c r="L413" s="7"/>
      <c r="M413" s="7"/>
    </row>
    <row r="414" spans="1:13" ht="12.75">
      <c r="A414" s="41" t="s">
        <v>27</v>
      </c>
      <c r="B414" s="46"/>
      <c r="C414" s="7"/>
      <c r="D414" s="7">
        <f t="shared" si="17"/>
        <v>0</v>
      </c>
      <c r="E414" s="7">
        <f t="shared" si="18"/>
        <v>408</v>
      </c>
      <c r="F414" s="7"/>
      <c r="G414" s="7"/>
      <c r="H414" s="7"/>
      <c r="I414" s="7">
        <v>408</v>
      </c>
      <c r="J414" s="7"/>
      <c r="K414" s="7"/>
      <c r="L414" s="7"/>
      <c r="M414" s="7"/>
    </row>
    <row r="415" spans="1:13" ht="12.75">
      <c r="A415" s="41" t="s">
        <v>36</v>
      </c>
      <c r="B415" s="46"/>
      <c r="C415" s="7"/>
      <c r="D415" s="7"/>
      <c r="E415" s="7">
        <f t="shared" si="18"/>
        <v>7021.38</v>
      </c>
      <c r="F415" s="7"/>
      <c r="G415" s="7"/>
      <c r="H415" s="7" t="s">
        <v>215</v>
      </c>
      <c r="I415" s="7">
        <v>982</v>
      </c>
      <c r="J415" s="7" t="s">
        <v>295</v>
      </c>
      <c r="K415" s="7">
        <v>3269</v>
      </c>
      <c r="L415" s="7" t="s">
        <v>401</v>
      </c>
      <c r="M415" s="7">
        <v>2770.38</v>
      </c>
    </row>
    <row r="416" spans="1:13" ht="12.75">
      <c r="A416" s="41" t="s">
        <v>58</v>
      </c>
      <c r="B416" s="46"/>
      <c r="C416" s="7"/>
      <c r="D416" s="7">
        <f t="shared" si="17"/>
        <v>0</v>
      </c>
      <c r="E416" s="7">
        <f t="shared" si="18"/>
        <v>0</v>
      </c>
      <c r="F416" s="7"/>
      <c r="G416" s="7"/>
      <c r="H416" s="7"/>
      <c r="I416" s="7"/>
      <c r="J416" s="7"/>
      <c r="K416" s="7"/>
      <c r="L416" s="7"/>
      <c r="M416" s="7"/>
    </row>
    <row r="417" spans="1:13" ht="12.75">
      <c r="A417" s="41" t="s">
        <v>402</v>
      </c>
      <c r="B417" s="46"/>
      <c r="C417" s="7"/>
      <c r="D417" s="7">
        <f t="shared" si="17"/>
        <v>0</v>
      </c>
      <c r="E417" s="7">
        <f t="shared" si="18"/>
        <v>781</v>
      </c>
      <c r="F417" s="7"/>
      <c r="G417" s="7"/>
      <c r="H417" s="7"/>
      <c r="I417" s="7"/>
      <c r="J417" s="7"/>
      <c r="K417" s="7"/>
      <c r="L417" s="7"/>
      <c r="M417" s="7">
        <v>781</v>
      </c>
    </row>
    <row r="418" spans="1:13" ht="12.75">
      <c r="A418" s="41" t="s">
        <v>30</v>
      </c>
      <c r="B418" s="44"/>
      <c r="C418" s="45"/>
      <c r="D418" s="7">
        <f t="shared" si="17"/>
        <v>0</v>
      </c>
      <c r="E418" s="7">
        <f t="shared" si="18"/>
        <v>0</v>
      </c>
      <c r="F418" s="45"/>
      <c r="G418" s="7"/>
      <c r="H418" s="7"/>
      <c r="I418" s="7"/>
      <c r="J418" s="7"/>
      <c r="K418" s="7"/>
      <c r="L418" s="7"/>
      <c r="M418" s="7"/>
    </row>
    <row r="419" spans="1:13" ht="12.75">
      <c r="A419" s="41" t="s">
        <v>54</v>
      </c>
      <c r="B419" s="46"/>
      <c r="C419" s="7"/>
      <c r="D419" s="7">
        <f t="shared" si="17"/>
        <v>0</v>
      </c>
      <c r="E419" s="7">
        <f t="shared" si="18"/>
        <v>70.689752</v>
      </c>
      <c r="F419" s="7"/>
      <c r="G419" s="7">
        <f>0.0196*C399</f>
        <v>70.689752</v>
      </c>
      <c r="H419" s="7"/>
      <c r="I419" s="7"/>
      <c r="J419" s="7"/>
      <c r="K419" s="7"/>
      <c r="L419" s="7"/>
      <c r="M419" s="7"/>
    </row>
    <row r="420" spans="1:13" ht="13.5" thickBot="1">
      <c r="A420" s="48" t="s">
        <v>55</v>
      </c>
      <c r="B420" s="49"/>
      <c r="C420" s="90"/>
      <c r="D420" s="50">
        <f t="shared" si="17"/>
        <v>0</v>
      </c>
      <c r="E420" s="7">
        <f t="shared" si="18"/>
        <v>292.41022</v>
      </c>
      <c r="F420" s="50"/>
      <c r="G420" s="50"/>
      <c r="H420" s="50"/>
      <c r="I420" s="50">
        <f>0.0685*C399</f>
        <v>247.05347</v>
      </c>
      <c r="J420" s="50"/>
      <c r="K420" s="50">
        <f>0.0125*K399</f>
        <v>45.356750000000005</v>
      </c>
      <c r="L420" s="50"/>
      <c r="M420" s="50"/>
    </row>
    <row r="421" spans="1:13" ht="13.5" thickBot="1">
      <c r="A421" s="51" t="s">
        <v>76</v>
      </c>
      <c r="B421" s="81"/>
      <c r="C421" s="63"/>
      <c r="D421" s="63">
        <f t="shared" si="17"/>
        <v>0</v>
      </c>
      <c r="E421" s="63">
        <f aca="true" t="shared" si="19" ref="E421:E451">G421+I421+K421+M421</f>
        <v>267127.240351</v>
      </c>
      <c r="F421" s="63"/>
      <c r="G421" s="63">
        <f>G406+G408</f>
        <v>64330.9077054</v>
      </c>
      <c r="H421" s="63"/>
      <c r="I421" s="63">
        <f>I406+I408</f>
        <v>71414.05151720002</v>
      </c>
      <c r="J421" s="63"/>
      <c r="K421" s="63">
        <f>K406+K408</f>
        <v>68600.98014659999</v>
      </c>
      <c r="L421" s="63"/>
      <c r="M421" s="29">
        <f>M406+M408</f>
        <v>62781.3009818</v>
      </c>
    </row>
    <row r="422" spans="1:13" ht="21.75">
      <c r="A422" s="54" t="s">
        <v>15</v>
      </c>
      <c r="B422" s="61"/>
      <c r="C422" s="56"/>
      <c r="D422" s="56">
        <f t="shared" si="17"/>
        <v>0</v>
      </c>
      <c r="E422" s="56">
        <f t="shared" si="19"/>
        <v>0</v>
      </c>
      <c r="F422" s="56"/>
      <c r="G422" s="56"/>
      <c r="H422" s="56"/>
      <c r="I422" s="56"/>
      <c r="J422" s="56"/>
      <c r="K422" s="56"/>
      <c r="L422" s="56"/>
      <c r="M422" s="56"/>
    </row>
    <row r="423" spans="1:13" ht="12.75">
      <c r="A423" s="41" t="s">
        <v>17</v>
      </c>
      <c r="B423" s="46"/>
      <c r="C423" s="7"/>
      <c r="D423" s="7">
        <f t="shared" si="17"/>
        <v>0</v>
      </c>
      <c r="E423" s="7">
        <f t="shared" si="19"/>
        <v>102282.7891578</v>
      </c>
      <c r="F423" s="7"/>
      <c r="G423" s="7">
        <f>6.73321*C399</f>
        <v>24284.1298502</v>
      </c>
      <c r="H423" s="7"/>
      <c r="I423" s="7">
        <f>7.02207*C399</f>
        <v>25325.9381034</v>
      </c>
      <c r="J423" s="7"/>
      <c r="K423" s="7">
        <f>7.2754*K399</f>
        <v>26399.079916000002</v>
      </c>
      <c r="L423" s="7"/>
      <c r="M423" s="7">
        <f>7.24083*K399</f>
        <v>26273.6412882</v>
      </c>
    </row>
    <row r="424" spans="1:13" ht="12.75">
      <c r="A424" s="41" t="s">
        <v>34</v>
      </c>
      <c r="B424" s="46"/>
      <c r="C424" s="7"/>
      <c r="D424" s="7">
        <f t="shared" si="17"/>
        <v>0</v>
      </c>
      <c r="E424" s="7">
        <f t="shared" si="19"/>
        <v>0</v>
      </c>
      <c r="F424" s="7"/>
      <c r="G424" s="7"/>
      <c r="H424" s="7"/>
      <c r="I424" s="7"/>
      <c r="J424" s="7"/>
      <c r="K424" s="7"/>
      <c r="L424" s="7"/>
      <c r="M424" s="7"/>
    </row>
    <row r="425" spans="1:13" ht="12.75">
      <c r="A425" s="41" t="s">
        <v>67</v>
      </c>
      <c r="B425" s="46"/>
      <c r="C425" s="7"/>
      <c r="D425" s="7">
        <f t="shared" si="17"/>
        <v>0</v>
      </c>
      <c r="E425" s="7">
        <f t="shared" si="19"/>
        <v>9068</v>
      </c>
      <c r="F425" s="7"/>
      <c r="G425" s="7">
        <v>2785</v>
      </c>
      <c r="H425" s="7"/>
      <c r="I425" s="7">
        <v>1710</v>
      </c>
      <c r="J425" s="7"/>
      <c r="K425" s="7">
        <v>3898</v>
      </c>
      <c r="L425" s="7"/>
      <c r="M425" s="7">
        <v>675</v>
      </c>
    </row>
    <row r="426" spans="1:13" ht="12.75">
      <c r="A426" s="41" t="s">
        <v>68</v>
      </c>
      <c r="B426" s="46"/>
      <c r="C426" s="7"/>
      <c r="D426" s="7">
        <f t="shared" si="17"/>
        <v>0</v>
      </c>
      <c r="E426" s="7">
        <f t="shared" si="19"/>
        <v>1818.5</v>
      </c>
      <c r="F426" s="7"/>
      <c r="G426" s="7"/>
      <c r="H426" s="7"/>
      <c r="I426" s="7">
        <v>1818.5</v>
      </c>
      <c r="J426" s="7"/>
      <c r="K426" s="7"/>
      <c r="L426" s="7"/>
      <c r="M426" s="7"/>
    </row>
    <row r="427" spans="1:13" ht="12.75">
      <c r="A427" s="41" t="s">
        <v>69</v>
      </c>
      <c r="B427" s="46"/>
      <c r="C427" s="7"/>
      <c r="D427" s="7">
        <f t="shared" si="17"/>
        <v>0</v>
      </c>
      <c r="E427" s="7">
        <f t="shared" si="19"/>
        <v>0</v>
      </c>
      <c r="F427" s="7"/>
      <c r="G427" s="7"/>
      <c r="H427" s="7"/>
      <c r="I427" s="7"/>
      <c r="J427" s="7"/>
      <c r="K427" s="7"/>
      <c r="L427" s="7"/>
      <c r="M427" s="7"/>
    </row>
    <row r="428" spans="1:13" ht="12.75">
      <c r="A428" s="41" t="s">
        <v>26</v>
      </c>
      <c r="B428" s="46"/>
      <c r="C428" s="7"/>
      <c r="D428" s="7">
        <f t="shared" si="17"/>
        <v>0</v>
      </c>
      <c r="E428" s="7">
        <f t="shared" si="19"/>
        <v>210</v>
      </c>
      <c r="F428" s="7"/>
      <c r="G428" s="7"/>
      <c r="H428" s="7"/>
      <c r="I428" s="7"/>
      <c r="J428" s="7"/>
      <c r="K428" s="7"/>
      <c r="L428" s="7"/>
      <c r="M428" s="7">
        <v>210</v>
      </c>
    </row>
    <row r="429" spans="1:13" ht="12.75">
      <c r="A429" s="41" t="s">
        <v>28</v>
      </c>
      <c r="B429" s="46"/>
      <c r="C429" s="7"/>
      <c r="D429" s="7">
        <f t="shared" si="17"/>
        <v>0</v>
      </c>
      <c r="E429" s="7">
        <f t="shared" si="19"/>
        <v>210</v>
      </c>
      <c r="F429" s="7"/>
      <c r="G429" s="7"/>
      <c r="H429" s="7"/>
      <c r="I429" s="7"/>
      <c r="J429" s="7"/>
      <c r="K429" s="7"/>
      <c r="L429" s="7"/>
      <c r="M429" s="7">
        <v>210</v>
      </c>
    </row>
    <row r="430" spans="1:13" ht="12.75">
      <c r="A430" s="41" t="s">
        <v>60</v>
      </c>
      <c r="B430" s="46"/>
      <c r="C430" s="7"/>
      <c r="D430" s="7">
        <f t="shared" si="17"/>
        <v>0</v>
      </c>
      <c r="E430" s="7">
        <f t="shared" si="19"/>
        <v>550</v>
      </c>
      <c r="F430" s="7"/>
      <c r="G430" s="7"/>
      <c r="H430" s="7"/>
      <c r="I430" s="7"/>
      <c r="J430" s="7"/>
      <c r="K430" s="7">
        <v>550</v>
      </c>
      <c r="L430" s="7"/>
      <c r="M430" s="7"/>
    </row>
    <row r="431" spans="1:13" ht="12.75">
      <c r="A431" s="41" t="s">
        <v>75</v>
      </c>
      <c r="B431" s="46"/>
      <c r="C431" s="7"/>
      <c r="D431" s="7">
        <f t="shared" si="17"/>
        <v>0</v>
      </c>
      <c r="E431" s="7">
        <f t="shared" si="19"/>
        <v>0</v>
      </c>
      <c r="F431" s="7"/>
      <c r="G431" s="7"/>
      <c r="H431" s="7"/>
      <c r="I431" s="7"/>
      <c r="J431" s="7"/>
      <c r="K431" s="7"/>
      <c r="L431" s="7"/>
      <c r="M431" s="7"/>
    </row>
    <row r="432" spans="1:13" ht="12.75">
      <c r="A432" s="41" t="s">
        <v>62</v>
      </c>
      <c r="B432" s="46"/>
      <c r="C432" s="7"/>
      <c r="D432" s="7">
        <f t="shared" si="17"/>
        <v>0</v>
      </c>
      <c r="E432" s="7">
        <f t="shared" si="19"/>
        <v>0</v>
      </c>
      <c r="F432" s="7"/>
      <c r="G432" s="7"/>
      <c r="H432" s="7"/>
      <c r="I432" s="7"/>
      <c r="J432" s="7"/>
      <c r="K432" s="7"/>
      <c r="L432" s="7"/>
      <c r="M432" s="7"/>
    </row>
    <row r="433" spans="1:13" ht="12.75">
      <c r="A433" s="41" t="s">
        <v>197</v>
      </c>
      <c r="B433" s="46"/>
      <c r="C433" s="7"/>
      <c r="D433" s="7">
        <f t="shared" si="17"/>
        <v>0</v>
      </c>
      <c r="E433" s="7">
        <f t="shared" si="19"/>
        <v>300</v>
      </c>
      <c r="F433" s="7"/>
      <c r="G433" s="7"/>
      <c r="H433" s="7"/>
      <c r="I433" s="7">
        <v>190</v>
      </c>
      <c r="J433" s="7"/>
      <c r="K433" s="7"/>
      <c r="L433" s="7"/>
      <c r="M433" s="7">
        <v>110</v>
      </c>
    </row>
    <row r="434" spans="1:13" ht="12.75">
      <c r="A434" s="41" t="s">
        <v>297</v>
      </c>
      <c r="B434" s="46"/>
      <c r="C434" s="7"/>
      <c r="D434" s="7">
        <f t="shared" si="17"/>
        <v>0</v>
      </c>
      <c r="E434" s="7">
        <f t="shared" si="19"/>
        <v>5468</v>
      </c>
      <c r="F434" s="7"/>
      <c r="G434" s="7"/>
      <c r="H434" s="7"/>
      <c r="I434" s="7"/>
      <c r="J434" s="7"/>
      <c r="K434" s="7">
        <v>5468</v>
      </c>
      <c r="L434" s="7"/>
      <c r="M434" s="7"/>
    </row>
    <row r="435" spans="1:13" ht="12.75">
      <c r="A435" s="41" t="s">
        <v>51</v>
      </c>
      <c r="B435" s="46"/>
      <c r="C435" s="7"/>
      <c r="D435" s="7">
        <f t="shared" si="17"/>
        <v>0</v>
      </c>
      <c r="E435" s="7">
        <f t="shared" si="19"/>
        <v>2806</v>
      </c>
      <c r="F435" s="7"/>
      <c r="G435" s="7"/>
      <c r="H435" s="7"/>
      <c r="I435" s="7">
        <v>2806</v>
      </c>
      <c r="J435" s="7"/>
      <c r="K435" s="7"/>
      <c r="L435" s="7"/>
      <c r="M435" s="7"/>
    </row>
    <row r="436" spans="1:13" ht="12.75">
      <c r="A436" s="58" t="s">
        <v>52</v>
      </c>
      <c r="B436" s="46"/>
      <c r="C436" s="7"/>
      <c r="D436" s="7">
        <f t="shared" si="17"/>
        <v>0</v>
      </c>
      <c r="E436" s="7">
        <f t="shared" si="19"/>
        <v>0</v>
      </c>
      <c r="F436" s="7"/>
      <c r="G436" s="7"/>
      <c r="H436" s="7"/>
      <c r="I436" s="7"/>
      <c r="J436" s="7"/>
      <c r="K436" s="7"/>
      <c r="L436" s="7"/>
      <c r="M436" s="7"/>
    </row>
    <row r="437" spans="1:13" ht="12.75">
      <c r="A437" s="41" t="s">
        <v>80</v>
      </c>
      <c r="B437" s="46"/>
      <c r="C437" s="7"/>
      <c r="D437" s="7">
        <f t="shared" si="17"/>
        <v>0</v>
      </c>
      <c r="E437" s="7">
        <f t="shared" si="19"/>
        <v>0</v>
      </c>
      <c r="F437" s="7"/>
      <c r="G437" s="7"/>
      <c r="H437" s="7"/>
      <c r="I437" s="7"/>
      <c r="J437" s="7"/>
      <c r="K437" s="7"/>
      <c r="L437" s="7"/>
      <c r="M437" s="7"/>
    </row>
    <row r="438" spans="1:13" ht="12.75">
      <c r="A438" s="41" t="s">
        <v>296</v>
      </c>
      <c r="B438" s="46"/>
      <c r="C438" s="7"/>
      <c r="D438" s="7">
        <f t="shared" si="17"/>
        <v>0</v>
      </c>
      <c r="E438" s="7">
        <f t="shared" si="19"/>
        <v>8305</v>
      </c>
      <c r="F438" s="7"/>
      <c r="G438" s="7"/>
      <c r="H438" s="7"/>
      <c r="I438" s="7"/>
      <c r="J438" s="7"/>
      <c r="K438" s="7">
        <v>8305</v>
      </c>
      <c r="L438" s="7"/>
      <c r="M438" s="7"/>
    </row>
    <row r="439" spans="1:13" ht="12.75">
      <c r="A439" s="41" t="s">
        <v>57</v>
      </c>
      <c r="B439" s="44"/>
      <c r="C439" s="45"/>
      <c r="D439" s="7">
        <f t="shared" si="17"/>
        <v>0</v>
      </c>
      <c r="E439" s="7">
        <f t="shared" si="19"/>
        <v>25.607002</v>
      </c>
      <c r="F439" s="45"/>
      <c r="G439" s="7"/>
      <c r="H439" s="7"/>
      <c r="I439" s="7">
        <f>0.0071*C399</f>
        <v>25.607002</v>
      </c>
      <c r="J439" s="7"/>
      <c r="K439" s="7"/>
      <c r="L439" s="7"/>
      <c r="M439" s="7"/>
    </row>
    <row r="440" spans="1:13" ht="12.75">
      <c r="A440" s="41" t="s">
        <v>33</v>
      </c>
      <c r="B440" s="46"/>
      <c r="C440" s="7"/>
      <c r="D440" s="7">
        <f t="shared" si="17"/>
        <v>0</v>
      </c>
      <c r="E440" s="7">
        <f t="shared" si="19"/>
        <v>3795.77</v>
      </c>
      <c r="F440" s="7"/>
      <c r="G440" s="7"/>
      <c r="H440" s="7"/>
      <c r="I440" s="7"/>
      <c r="J440" s="7"/>
      <c r="K440" s="7">
        <v>1871</v>
      </c>
      <c r="L440" s="7"/>
      <c r="M440" s="7">
        <v>1924.77</v>
      </c>
    </row>
    <row r="441" spans="1:13" ht="12.75">
      <c r="A441" s="41" t="s">
        <v>50</v>
      </c>
      <c r="B441" s="46"/>
      <c r="C441" s="7"/>
      <c r="D441" s="7">
        <f t="shared" si="17"/>
        <v>0</v>
      </c>
      <c r="E441" s="7">
        <f t="shared" si="19"/>
        <v>3960.2319119999997</v>
      </c>
      <c r="F441" s="7"/>
      <c r="G441" s="7">
        <f>0.2455*C399</f>
        <v>885.42521</v>
      </c>
      <c r="H441" s="7"/>
      <c r="I441" s="7">
        <f>0.5802*C399</f>
        <v>2092.560924</v>
      </c>
      <c r="J441" s="7"/>
      <c r="K441" s="7">
        <f>0.1437*K399</f>
        <v>521.421198</v>
      </c>
      <c r="L441" s="7"/>
      <c r="M441" s="7">
        <f>0.127*K399</f>
        <v>460.82458</v>
      </c>
    </row>
    <row r="442" spans="1:13" ht="13.5" thickBot="1">
      <c r="A442" s="48" t="s">
        <v>54</v>
      </c>
      <c r="B442" s="49"/>
      <c r="C442" s="50"/>
      <c r="D442" s="50">
        <f t="shared" si="17"/>
        <v>0</v>
      </c>
      <c r="E442" s="7">
        <f t="shared" si="19"/>
        <v>111.588056</v>
      </c>
      <c r="F442" s="50"/>
      <c r="G442" s="50"/>
      <c r="H442" s="50"/>
      <c r="I442" s="50">
        <f>0.0078*C399</f>
        <v>28.131635999999997</v>
      </c>
      <c r="J442" s="50"/>
      <c r="K442" s="50">
        <f>0.011*K399</f>
        <v>39.91394</v>
      </c>
      <c r="L442" s="50"/>
      <c r="M442" s="50">
        <f>0.012*K399</f>
        <v>43.54248</v>
      </c>
    </row>
    <row r="443" spans="1:13" ht="13.5" thickBot="1">
      <c r="A443" s="59" t="s">
        <v>10</v>
      </c>
      <c r="B443" s="81"/>
      <c r="C443" s="63"/>
      <c r="D443" s="63">
        <f t="shared" si="17"/>
        <v>0</v>
      </c>
      <c r="E443" s="63">
        <f t="shared" si="19"/>
        <v>138911.4861278</v>
      </c>
      <c r="F443" s="63"/>
      <c r="G443" s="63">
        <f>SUM(G423:G442)</f>
        <v>27954.5550602</v>
      </c>
      <c r="H443" s="63"/>
      <c r="I443" s="63">
        <f>SUM(I423:I442)</f>
        <v>33996.737665399996</v>
      </c>
      <c r="J443" s="63"/>
      <c r="K443" s="63">
        <f>SUM(K423:K442)</f>
        <v>47052.415054</v>
      </c>
      <c r="L443" s="63"/>
      <c r="M443" s="29">
        <f>SUM(M423:M442)</f>
        <v>29907.7783482</v>
      </c>
    </row>
    <row r="444" spans="1:13" ht="12.75">
      <c r="A444" s="60" t="s">
        <v>42</v>
      </c>
      <c r="B444" s="61"/>
      <c r="C444" s="56"/>
      <c r="D444" s="56">
        <f t="shared" si="17"/>
        <v>0</v>
      </c>
      <c r="E444" s="56">
        <f t="shared" si="19"/>
        <v>0</v>
      </c>
      <c r="F444" s="56"/>
      <c r="G444" s="56"/>
      <c r="H444" s="56"/>
      <c r="I444" s="56"/>
      <c r="J444" s="56"/>
      <c r="K444" s="56"/>
      <c r="L444" s="56"/>
      <c r="M444" s="56"/>
    </row>
    <row r="445" spans="1:13" ht="12.75">
      <c r="A445" s="138" t="s">
        <v>403</v>
      </c>
      <c r="B445" s="61"/>
      <c r="C445" s="56"/>
      <c r="D445" s="56"/>
      <c r="E445" s="56">
        <f t="shared" si="19"/>
        <v>1100</v>
      </c>
      <c r="F445" s="56"/>
      <c r="G445" s="56"/>
      <c r="H445" s="56"/>
      <c r="I445" s="56"/>
      <c r="J445" s="56"/>
      <c r="K445" s="56"/>
      <c r="L445" s="56"/>
      <c r="M445" s="56">
        <v>1100</v>
      </c>
    </row>
    <row r="446" spans="1:13" ht="12.75">
      <c r="A446" s="41" t="s">
        <v>375</v>
      </c>
      <c r="B446" s="61"/>
      <c r="C446" s="56"/>
      <c r="D446" s="56"/>
      <c r="E446" s="56">
        <f t="shared" si="19"/>
        <v>267.2</v>
      </c>
      <c r="F446" s="56"/>
      <c r="G446" s="56"/>
      <c r="H446" s="56"/>
      <c r="I446" s="56"/>
      <c r="J446" s="56"/>
      <c r="K446" s="56"/>
      <c r="L446" s="56"/>
      <c r="M446" s="56">
        <v>267.2</v>
      </c>
    </row>
    <row r="447" spans="1:13" ht="12.75">
      <c r="A447" s="41" t="s">
        <v>56</v>
      </c>
      <c r="B447" s="46"/>
      <c r="C447" s="7"/>
      <c r="D447" s="7">
        <f t="shared" si="17"/>
        <v>0</v>
      </c>
      <c r="E447" s="56">
        <f t="shared" si="19"/>
        <v>0</v>
      </c>
      <c r="F447" s="7"/>
      <c r="G447" s="7"/>
      <c r="H447" s="7"/>
      <c r="I447" s="7"/>
      <c r="J447" s="7"/>
      <c r="K447" s="7"/>
      <c r="L447" s="7"/>
      <c r="M447" s="7"/>
    </row>
    <row r="448" spans="1:13" ht="13.5" thickBot="1">
      <c r="A448" s="48" t="s">
        <v>16</v>
      </c>
      <c r="B448" s="85"/>
      <c r="C448" s="88"/>
      <c r="D448" s="50">
        <f t="shared" si="17"/>
        <v>0</v>
      </c>
      <c r="E448" s="56">
        <f t="shared" si="19"/>
        <v>129.34379</v>
      </c>
      <c r="F448" s="88"/>
      <c r="G448" s="50">
        <f>0.0089*C399</f>
        <v>32.098918</v>
      </c>
      <c r="H448" s="50"/>
      <c r="I448" s="50"/>
      <c r="J448" s="50"/>
      <c r="K448" s="50"/>
      <c r="L448" s="50"/>
      <c r="M448" s="50">
        <f>0.0268*K399</f>
        <v>97.244872</v>
      </c>
    </row>
    <row r="449" spans="1:13" ht="13.5" thickBot="1">
      <c r="A449" s="62" t="s">
        <v>10</v>
      </c>
      <c r="B449" s="81"/>
      <c r="C449" s="53"/>
      <c r="D449" s="63">
        <f t="shared" si="17"/>
        <v>0</v>
      </c>
      <c r="E449" s="63">
        <f t="shared" si="19"/>
        <v>1496.54379</v>
      </c>
      <c r="F449" s="63"/>
      <c r="G449" s="63">
        <f>G447+G448</f>
        <v>32.098918</v>
      </c>
      <c r="H449" s="63"/>
      <c r="I449" s="63"/>
      <c r="J449" s="63"/>
      <c r="K449" s="63"/>
      <c r="L449" s="63"/>
      <c r="M449" s="29">
        <f>SUM(M445:M448)</f>
        <v>1464.444872</v>
      </c>
    </row>
    <row r="450" spans="1:13" ht="13.5" thickBot="1">
      <c r="A450" s="64" t="s">
        <v>29</v>
      </c>
      <c r="B450" s="52"/>
      <c r="C450" s="53"/>
      <c r="D450" s="63">
        <f t="shared" si="17"/>
        <v>0</v>
      </c>
      <c r="E450" s="63">
        <f t="shared" si="19"/>
        <v>8296.779913999999</v>
      </c>
      <c r="F450" s="53"/>
      <c r="G450" s="63">
        <f>0.4236*C399</f>
        <v>1527.7642319999998</v>
      </c>
      <c r="H450" s="63"/>
      <c r="I450" s="63">
        <f>0.5971*C399</f>
        <v>2153.5128019999997</v>
      </c>
      <c r="J450" s="63"/>
      <c r="K450" s="63"/>
      <c r="L450" s="63"/>
      <c r="M450" s="29">
        <f>1.272*K399</f>
        <v>4615.50288</v>
      </c>
    </row>
    <row r="451" spans="1:13" ht="21.75">
      <c r="A451" s="65" t="s">
        <v>83</v>
      </c>
      <c r="B451" s="100"/>
      <c r="C451" s="101"/>
      <c r="D451" s="56">
        <f t="shared" si="17"/>
        <v>0</v>
      </c>
      <c r="E451" s="56">
        <f t="shared" si="19"/>
        <v>415832.0501828</v>
      </c>
      <c r="F451" s="102"/>
      <c r="G451" s="56">
        <f>G421+G443+G449+G450</f>
        <v>93845.32591560001</v>
      </c>
      <c r="H451" s="56"/>
      <c r="I451" s="56">
        <f>I421+I443+I449+I450</f>
        <v>107564.30198460001</v>
      </c>
      <c r="J451" s="56"/>
      <c r="K451" s="56">
        <f>K421+K443+K449+K450</f>
        <v>115653.39520059999</v>
      </c>
      <c r="L451" s="56"/>
      <c r="M451" s="56">
        <f>M421+M443+M449+M450</f>
        <v>98769.027082</v>
      </c>
    </row>
    <row r="452" spans="1:13" ht="33.75">
      <c r="A452" s="67" t="s">
        <v>84</v>
      </c>
      <c r="B452" s="70"/>
      <c r="C452" s="71"/>
      <c r="D452" s="71"/>
      <c r="E452" s="9">
        <f>E451/12/C399</f>
        <v>9.608073722367942</v>
      </c>
      <c r="F452" s="71"/>
      <c r="G452" s="8">
        <f>G451/3/C399</f>
        <v>8.673432550476624</v>
      </c>
      <c r="H452" s="2"/>
      <c r="I452" s="8">
        <f>I451/3/C399</f>
        <v>9.941376504372517</v>
      </c>
      <c r="J452" s="2"/>
      <c r="K452" s="8">
        <f>K451/3/K399</f>
        <v>10.624419665632274</v>
      </c>
      <c r="L452" s="2"/>
      <c r="M452" s="8">
        <f>M451/3/K399</f>
        <v>9.073348792443609</v>
      </c>
    </row>
    <row r="453" spans="1:13" ht="12.75">
      <c r="A453" s="69" t="s">
        <v>20</v>
      </c>
      <c r="B453" s="2"/>
      <c r="C453" s="2"/>
      <c r="D453" s="2"/>
      <c r="E453" s="7">
        <f>E404-E451</f>
        <v>-16525.060182799934</v>
      </c>
      <c r="F453" s="2"/>
      <c r="G453" s="7"/>
      <c r="H453" s="2"/>
      <c r="I453" s="7">
        <f>I404-I451-19576</f>
        <v>-23762.421984600005</v>
      </c>
      <c r="J453" s="2"/>
      <c r="K453" s="7">
        <f>K404-K451-23762</f>
        <v>-44458.54520059998</v>
      </c>
      <c r="L453" s="2"/>
      <c r="M453" s="75">
        <f>M404-M451-44459</f>
        <v>-16525.467082000003</v>
      </c>
    </row>
    <row r="454" spans="1:13" ht="12.75">
      <c r="A454" s="14" t="s">
        <v>24</v>
      </c>
      <c r="B454" s="30"/>
      <c r="C454" s="30"/>
      <c r="D454" s="30"/>
      <c r="E454" s="30"/>
      <c r="F454" s="30"/>
      <c r="G454" s="30"/>
      <c r="H454" s="14"/>
      <c r="I454" s="14"/>
      <c r="J454" s="14"/>
      <c r="K454" s="14"/>
      <c r="L454" s="14"/>
      <c r="M454" s="14"/>
    </row>
    <row r="455" spans="1:13" ht="12.75">
      <c r="A455" s="14" t="s">
        <v>25</v>
      </c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1:13" ht="12.75">
      <c r="A456" s="14" t="s">
        <v>35</v>
      </c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4:13" ht="224.25" customHeight="1"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1:13" ht="189.75" customHeight="1" hidden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1:13" ht="12.75">
      <c r="A459" s="31" t="s">
        <v>21</v>
      </c>
      <c r="B459" s="31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1:13" ht="12.75">
      <c r="A460" s="14" t="s">
        <v>31</v>
      </c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1:13" ht="12.75">
      <c r="A461" s="14" t="s">
        <v>41</v>
      </c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1:13" ht="12.75">
      <c r="A462" s="14" t="s">
        <v>105</v>
      </c>
      <c r="B462" s="14"/>
      <c r="C462" s="14"/>
      <c r="D462" s="14"/>
      <c r="E462" s="14" t="s">
        <v>32</v>
      </c>
      <c r="F462" s="14"/>
      <c r="G462" s="14"/>
      <c r="H462" s="14"/>
      <c r="I462" s="14"/>
      <c r="J462" s="14"/>
      <c r="K462" s="14"/>
      <c r="L462" s="14"/>
      <c r="M462" s="14"/>
    </row>
    <row r="463" spans="1:13" ht="23.25" customHeight="1">
      <c r="A463" s="6" t="s">
        <v>0</v>
      </c>
      <c r="B463" s="151" t="s">
        <v>38</v>
      </c>
      <c r="C463" s="152"/>
      <c r="D463" s="149" t="s">
        <v>39</v>
      </c>
      <c r="E463" s="150"/>
      <c r="F463" s="149" t="s">
        <v>96</v>
      </c>
      <c r="G463" s="150"/>
      <c r="H463" s="149" t="s">
        <v>97</v>
      </c>
      <c r="I463" s="150"/>
      <c r="J463" s="149" t="s">
        <v>98</v>
      </c>
      <c r="K463" s="150"/>
      <c r="L463" s="149" t="s">
        <v>99</v>
      </c>
      <c r="M463" s="150"/>
    </row>
    <row r="464" spans="1:13" ht="12.75">
      <c r="A464" s="11" t="s">
        <v>5</v>
      </c>
      <c r="B464" s="153"/>
      <c r="C464" s="154"/>
      <c r="D464" s="6" t="s">
        <v>40</v>
      </c>
      <c r="E464" s="6" t="s">
        <v>22</v>
      </c>
      <c r="F464" s="6" t="s">
        <v>40</v>
      </c>
      <c r="G464" s="13" t="s">
        <v>22</v>
      </c>
      <c r="H464" s="2"/>
      <c r="I464" s="2"/>
      <c r="J464" s="2"/>
      <c r="K464" s="2"/>
      <c r="L464" s="2"/>
      <c r="M464" s="2"/>
    </row>
    <row r="465" spans="1:13" ht="12.75">
      <c r="A465" s="2" t="s">
        <v>1</v>
      </c>
      <c r="B465" s="2"/>
      <c r="C465" s="6">
        <v>5</v>
      </c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2.75">
      <c r="A466" s="2" t="s">
        <v>2</v>
      </c>
      <c r="B466" s="2"/>
      <c r="C466" s="6">
        <v>6</v>
      </c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2.75">
      <c r="A467" s="2" t="s">
        <v>3</v>
      </c>
      <c r="B467" s="2"/>
      <c r="C467" s="6">
        <v>60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2.75">
      <c r="A468" s="2" t="s">
        <v>4</v>
      </c>
      <c r="B468" s="6"/>
      <c r="C468" s="6">
        <v>3593.8</v>
      </c>
      <c r="D468" s="6"/>
      <c r="E468" s="6"/>
      <c r="F468" s="6"/>
      <c r="G468" s="2"/>
      <c r="H468" s="2"/>
      <c r="I468" s="2"/>
      <c r="J468" s="2"/>
      <c r="K468" s="2"/>
      <c r="L468" s="2"/>
      <c r="M468" s="2"/>
    </row>
    <row r="469" spans="1:13" ht="21.75">
      <c r="A469" s="35" t="s">
        <v>6</v>
      </c>
      <c r="B469" s="11" t="s">
        <v>40</v>
      </c>
      <c r="C469" s="2" t="s">
        <v>22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22.5">
      <c r="A470" s="40" t="s">
        <v>7</v>
      </c>
      <c r="B470" s="3"/>
      <c r="C470" s="6"/>
      <c r="D470" s="2">
        <f aca="true" t="shared" si="20" ref="D470:E472">F470+H470+J470+L470</f>
        <v>0</v>
      </c>
      <c r="E470" s="38">
        <f t="shared" si="20"/>
        <v>227739.94999999998</v>
      </c>
      <c r="F470" s="2"/>
      <c r="G470" s="2">
        <v>82617.49</v>
      </c>
      <c r="H470" s="2"/>
      <c r="I470" s="4">
        <v>99450.5</v>
      </c>
      <c r="J470" s="2"/>
      <c r="K470" s="2">
        <v>43696.46</v>
      </c>
      <c r="L470" s="2"/>
      <c r="M470" s="2">
        <v>1975.5</v>
      </c>
    </row>
    <row r="471" spans="1:13" ht="12.75">
      <c r="A471" s="41" t="s">
        <v>8</v>
      </c>
      <c r="B471" s="3"/>
      <c r="C471" s="6"/>
      <c r="D471" s="2">
        <f t="shared" si="20"/>
        <v>0</v>
      </c>
      <c r="E471" s="38">
        <f t="shared" si="20"/>
        <v>7286.16</v>
      </c>
      <c r="F471" s="2"/>
      <c r="G471" s="2">
        <v>2428.72</v>
      </c>
      <c r="H471" s="2"/>
      <c r="I471" s="2">
        <v>2428.72</v>
      </c>
      <c r="J471" s="2"/>
      <c r="K471" s="2">
        <v>2428.72</v>
      </c>
      <c r="L471" s="2"/>
      <c r="M471" s="2"/>
    </row>
    <row r="472" spans="1:13" ht="12.75">
      <c r="A472" s="41" t="s">
        <v>9</v>
      </c>
      <c r="B472" s="3"/>
      <c r="C472" s="6"/>
      <c r="D472" s="2">
        <f t="shared" si="20"/>
        <v>0</v>
      </c>
      <c r="E472" s="38">
        <f t="shared" si="20"/>
        <v>0</v>
      </c>
      <c r="F472" s="2"/>
      <c r="G472" s="2"/>
      <c r="H472" s="2"/>
      <c r="I472" s="2"/>
      <c r="J472" s="2"/>
      <c r="K472" s="2"/>
      <c r="L472" s="2"/>
      <c r="M472" s="2"/>
    </row>
    <row r="473" spans="1:13" ht="12.75">
      <c r="A473" s="2" t="s">
        <v>10</v>
      </c>
      <c r="B473" s="42"/>
      <c r="C473" s="11"/>
      <c r="D473" s="37"/>
      <c r="E473" s="38">
        <f>G473+I473+K473+M473</f>
        <v>235026.11</v>
      </c>
      <c r="F473" s="37"/>
      <c r="G473" s="2">
        <f>SUM(G470:G472)</f>
        <v>85046.21</v>
      </c>
      <c r="H473" s="2"/>
      <c r="I473" s="4">
        <f>SUM(I470:I472)</f>
        <v>101879.22</v>
      </c>
      <c r="J473" s="2"/>
      <c r="K473" s="2">
        <f>SUM(K470:K472)</f>
        <v>46125.18</v>
      </c>
      <c r="L473" s="2"/>
      <c r="M473" s="2">
        <f>SUM(M470:M472)</f>
        <v>1975.5</v>
      </c>
    </row>
    <row r="474" spans="1:13" ht="21.75">
      <c r="A474" s="35" t="s">
        <v>82</v>
      </c>
      <c r="B474" s="4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2.75">
      <c r="A475" s="43" t="s">
        <v>11</v>
      </c>
      <c r="B475" s="44"/>
      <c r="C475" s="45"/>
      <c r="D475" s="7">
        <f>F475+H475+J475+L475</f>
        <v>0</v>
      </c>
      <c r="E475" s="7">
        <f>G475+I475+K475+M475</f>
        <v>63147.16293200001</v>
      </c>
      <c r="F475" s="45"/>
      <c r="G475" s="7">
        <f>7.99407*C468</f>
        <v>28729.088766</v>
      </c>
      <c r="H475" s="7"/>
      <c r="I475" s="7">
        <f>9.57707*C468</f>
        <v>34418.074166000006</v>
      </c>
      <c r="J475" s="7"/>
      <c r="K475" s="7"/>
      <c r="L475" s="7"/>
      <c r="M475" s="7"/>
    </row>
    <row r="476" spans="1:13" ht="12.75">
      <c r="A476" s="43" t="s">
        <v>12</v>
      </c>
      <c r="B476" s="46"/>
      <c r="C476" s="7"/>
      <c r="D476" s="7">
        <f aca="true" t="shared" si="21" ref="D476:D520">F476+H476+J476+L476</f>
        <v>0</v>
      </c>
      <c r="E476" s="7">
        <f aca="true" t="shared" si="22" ref="E476:E489">G476+I476+K476+M476</f>
        <v>0</v>
      </c>
      <c r="F476" s="7"/>
      <c r="G476" s="7"/>
      <c r="H476" s="7"/>
      <c r="I476" s="7"/>
      <c r="J476" s="7"/>
      <c r="K476" s="7"/>
      <c r="L476" s="7"/>
      <c r="M476" s="7"/>
    </row>
    <row r="477" spans="1:13" ht="12.75">
      <c r="A477" s="41" t="s">
        <v>13</v>
      </c>
      <c r="B477" s="46"/>
      <c r="C477" s="7"/>
      <c r="D477" s="7">
        <f t="shared" si="21"/>
        <v>0</v>
      </c>
      <c r="E477" s="7">
        <f t="shared" si="22"/>
        <v>74278.209608</v>
      </c>
      <c r="F477" s="7"/>
      <c r="G477" s="7">
        <f>G478+G480+G481+G482+G483+G484+G485+G486+G487+G488+G489</f>
        <v>37091.559345999995</v>
      </c>
      <c r="H477" s="7"/>
      <c r="I477" s="7">
        <f>I478+I480+I481+I482+I483+I484+I485+I486+I487+I488+I489</f>
        <v>37186.650262</v>
      </c>
      <c r="J477" s="7"/>
      <c r="K477" s="7"/>
      <c r="L477" s="7"/>
      <c r="M477" s="7"/>
    </row>
    <row r="478" spans="1:13" ht="12.75">
      <c r="A478" s="47" t="s">
        <v>14</v>
      </c>
      <c r="B478" s="44"/>
      <c r="C478" s="71"/>
      <c r="D478" s="7">
        <f t="shared" si="21"/>
        <v>0</v>
      </c>
      <c r="E478" s="7">
        <f t="shared" si="22"/>
        <v>66140</v>
      </c>
      <c r="F478" s="7"/>
      <c r="G478" s="7">
        <v>33602</v>
      </c>
      <c r="H478" s="7"/>
      <c r="I478" s="7">
        <v>32538</v>
      </c>
      <c r="J478" s="7"/>
      <c r="K478" s="7"/>
      <c r="L478" s="7"/>
      <c r="M478" s="7"/>
    </row>
    <row r="479" spans="1:13" ht="12.75">
      <c r="A479" s="41" t="s">
        <v>19</v>
      </c>
      <c r="B479" s="46"/>
      <c r="C479" s="71"/>
      <c r="D479" s="7">
        <f t="shared" si="21"/>
        <v>0</v>
      </c>
      <c r="E479" s="7">
        <f t="shared" si="22"/>
        <v>43238.15</v>
      </c>
      <c r="F479" s="7"/>
      <c r="G479" s="7">
        <v>21619.15</v>
      </c>
      <c r="H479" s="7"/>
      <c r="I479" s="7">
        <v>21619</v>
      </c>
      <c r="J479" s="7"/>
      <c r="K479" s="7"/>
      <c r="L479" s="7"/>
      <c r="M479" s="7"/>
    </row>
    <row r="480" spans="1:13" ht="12.75">
      <c r="A480" s="41" t="s">
        <v>18</v>
      </c>
      <c r="B480" s="46"/>
      <c r="C480" s="7"/>
      <c r="D480" s="7">
        <f t="shared" si="21"/>
        <v>0</v>
      </c>
      <c r="E480" s="7">
        <f t="shared" si="22"/>
        <v>504.66999999999996</v>
      </c>
      <c r="F480" s="7"/>
      <c r="G480" s="7">
        <v>209.67</v>
      </c>
      <c r="H480" s="7"/>
      <c r="I480" s="7">
        <v>295</v>
      </c>
      <c r="J480" s="7"/>
      <c r="K480" s="7"/>
      <c r="L480" s="7"/>
      <c r="M480" s="7"/>
    </row>
    <row r="481" spans="1:13" ht="12.75">
      <c r="A481" s="41" t="s">
        <v>53</v>
      </c>
      <c r="B481" s="46"/>
      <c r="C481" s="7"/>
      <c r="D481" s="7">
        <f t="shared" si="21"/>
        <v>0</v>
      </c>
      <c r="E481" s="7">
        <f t="shared" si="22"/>
        <v>3877.9258280000004</v>
      </c>
      <c r="F481" s="7"/>
      <c r="G481" s="7">
        <f>0.54857*C468</f>
        <v>1971.4508660000001</v>
      </c>
      <c r="H481" s="7"/>
      <c r="I481" s="7">
        <f>0.53049*C468</f>
        <v>1906.4749620000002</v>
      </c>
      <c r="J481" s="7"/>
      <c r="K481" s="7"/>
      <c r="L481" s="7"/>
      <c r="M481" s="7"/>
    </row>
    <row r="482" spans="1:13" ht="12.75">
      <c r="A482" s="41" t="s">
        <v>148</v>
      </c>
      <c r="B482" s="46"/>
      <c r="C482" s="7"/>
      <c r="D482" s="7">
        <f t="shared" si="21"/>
        <v>0</v>
      </c>
      <c r="E482" s="7">
        <f t="shared" si="22"/>
        <v>1688</v>
      </c>
      <c r="F482" s="7"/>
      <c r="G482" s="7">
        <v>1238</v>
      </c>
      <c r="H482" s="7"/>
      <c r="I482" s="7">
        <v>450</v>
      </c>
      <c r="J482" s="7"/>
      <c r="K482" s="7"/>
      <c r="L482" s="7"/>
      <c r="M482" s="7"/>
    </row>
    <row r="483" spans="1:13" ht="12.75">
      <c r="A483" s="41" t="s">
        <v>27</v>
      </c>
      <c r="B483" s="46"/>
      <c r="C483" s="7"/>
      <c r="D483" s="7">
        <f t="shared" si="21"/>
        <v>0</v>
      </c>
      <c r="E483" s="7">
        <f t="shared" si="22"/>
        <v>769</v>
      </c>
      <c r="F483" s="7"/>
      <c r="G483" s="7"/>
      <c r="H483" s="7"/>
      <c r="I483" s="7">
        <v>769</v>
      </c>
      <c r="J483" s="7"/>
      <c r="K483" s="7"/>
      <c r="L483" s="7"/>
      <c r="M483" s="7"/>
    </row>
    <row r="484" spans="1:13" ht="12.75">
      <c r="A484" s="41" t="s">
        <v>36</v>
      </c>
      <c r="B484" s="46"/>
      <c r="C484" s="7"/>
      <c r="D484" s="7"/>
      <c r="E484" s="7">
        <f t="shared" si="22"/>
        <v>982</v>
      </c>
      <c r="F484" s="7"/>
      <c r="G484" s="7"/>
      <c r="H484" s="7" t="s">
        <v>215</v>
      </c>
      <c r="I484" s="7">
        <v>982</v>
      </c>
      <c r="J484" s="7"/>
      <c r="K484" s="7"/>
      <c r="L484" s="7"/>
      <c r="M484" s="7"/>
    </row>
    <row r="485" spans="1:13" ht="12.75">
      <c r="A485" s="41" t="s">
        <v>58</v>
      </c>
      <c r="B485" s="46"/>
      <c r="C485" s="7"/>
      <c r="D485" s="7">
        <f t="shared" si="21"/>
        <v>0</v>
      </c>
      <c r="E485" s="7">
        <f t="shared" si="22"/>
        <v>0</v>
      </c>
      <c r="F485" s="7"/>
      <c r="G485" s="7"/>
      <c r="H485" s="7"/>
      <c r="I485" s="7"/>
      <c r="J485" s="7"/>
      <c r="K485" s="7"/>
      <c r="L485" s="7"/>
      <c r="M485" s="7"/>
    </row>
    <row r="486" spans="1:13" ht="12.75">
      <c r="A486" s="41" t="s">
        <v>43</v>
      </c>
      <c r="B486" s="46"/>
      <c r="C486" s="7"/>
      <c r="D486" s="7">
        <f t="shared" si="21"/>
        <v>0</v>
      </c>
      <c r="E486" s="7">
        <f t="shared" si="22"/>
        <v>0</v>
      </c>
      <c r="F486" s="7"/>
      <c r="G486" s="7"/>
      <c r="H486" s="7"/>
      <c r="I486" s="7"/>
      <c r="J486" s="7"/>
      <c r="K486" s="7"/>
      <c r="L486" s="7"/>
      <c r="M486" s="7"/>
    </row>
    <row r="487" spans="1:13" ht="12.75">
      <c r="A487" s="41" t="s">
        <v>30</v>
      </c>
      <c r="B487" s="46"/>
      <c r="C487" s="7"/>
      <c r="D487" s="7">
        <f t="shared" si="21"/>
        <v>0</v>
      </c>
      <c r="E487" s="7">
        <f t="shared" si="22"/>
        <v>0</v>
      </c>
      <c r="F487" s="7"/>
      <c r="G487" s="7"/>
      <c r="H487" s="7"/>
      <c r="I487" s="7"/>
      <c r="J487" s="7"/>
      <c r="K487" s="7"/>
      <c r="L487" s="7"/>
      <c r="M487" s="7"/>
    </row>
    <row r="488" spans="1:13" ht="12.75">
      <c r="A488" s="41" t="s">
        <v>54</v>
      </c>
      <c r="B488" s="46"/>
      <c r="C488" s="7"/>
      <c r="D488" s="7">
        <f t="shared" si="21"/>
        <v>0</v>
      </c>
      <c r="E488" s="7">
        <f t="shared" si="22"/>
        <v>70.43848</v>
      </c>
      <c r="F488" s="7"/>
      <c r="G488" s="7">
        <f>0.0196*C468</f>
        <v>70.43848</v>
      </c>
      <c r="H488" s="7"/>
      <c r="I488" s="7"/>
      <c r="J488" s="7"/>
      <c r="K488" s="7"/>
      <c r="L488" s="7"/>
      <c r="M488" s="7"/>
    </row>
    <row r="489" spans="1:13" ht="13.5" thickBot="1">
      <c r="A489" s="48" t="s">
        <v>55</v>
      </c>
      <c r="B489" s="85"/>
      <c r="C489" s="88"/>
      <c r="D489" s="50">
        <f t="shared" si="21"/>
        <v>0</v>
      </c>
      <c r="E489" s="7">
        <f t="shared" si="22"/>
        <v>246.17530000000002</v>
      </c>
      <c r="F489" s="88"/>
      <c r="G489" s="50"/>
      <c r="H489" s="50"/>
      <c r="I489" s="50">
        <f>0.0685*C468</f>
        <v>246.17530000000002</v>
      </c>
      <c r="J489" s="50"/>
      <c r="K489" s="50"/>
      <c r="L489" s="50"/>
      <c r="M489" s="50"/>
    </row>
    <row r="490" spans="1:13" ht="13.5" thickBot="1">
      <c r="A490" s="51" t="s">
        <v>76</v>
      </c>
      <c r="B490" s="81"/>
      <c r="C490" s="63"/>
      <c r="D490" s="63">
        <f t="shared" si="21"/>
        <v>0</v>
      </c>
      <c r="E490" s="63">
        <f>E475+E477</f>
        <v>137425.37254</v>
      </c>
      <c r="F490" s="63"/>
      <c r="G490" s="63">
        <f>G475+G477</f>
        <v>65820.648112</v>
      </c>
      <c r="H490" s="63"/>
      <c r="I490" s="63">
        <f>I475+I477</f>
        <v>71604.72442800002</v>
      </c>
      <c r="J490" s="63"/>
      <c r="K490" s="63"/>
      <c r="L490" s="63"/>
      <c r="M490" s="29"/>
    </row>
    <row r="491" spans="1:13" ht="14.25" customHeight="1">
      <c r="A491" s="54" t="s">
        <v>15</v>
      </c>
      <c r="B491" s="55"/>
      <c r="C491" s="102"/>
      <c r="D491" s="56">
        <f t="shared" si="21"/>
        <v>0</v>
      </c>
      <c r="E491" s="56">
        <f aca="true" t="shared" si="23" ref="E491:E519">G491+I491+K491+M491</f>
        <v>0</v>
      </c>
      <c r="F491" s="56"/>
      <c r="G491" s="56"/>
      <c r="H491" s="56"/>
      <c r="I491" s="56"/>
      <c r="J491" s="56"/>
      <c r="K491" s="56"/>
      <c r="L491" s="56"/>
      <c r="M491" s="56"/>
    </row>
    <row r="492" spans="1:13" ht="12.75">
      <c r="A492" s="41" t="s">
        <v>17</v>
      </c>
      <c r="B492" s="46"/>
      <c r="C492" s="7"/>
      <c r="D492" s="7">
        <f t="shared" si="21"/>
        <v>0</v>
      </c>
      <c r="E492" s="7">
        <f t="shared" si="23"/>
        <v>49433.72526400001</v>
      </c>
      <c r="F492" s="7"/>
      <c r="G492" s="7">
        <f>6.73321*C468</f>
        <v>24197.810098</v>
      </c>
      <c r="H492" s="7"/>
      <c r="I492" s="7">
        <f>7.02207*C468</f>
        <v>25235.915166000003</v>
      </c>
      <c r="J492" s="7"/>
      <c r="K492" s="7"/>
      <c r="L492" s="7"/>
      <c r="M492" s="7"/>
    </row>
    <row r="493" spans="1:13" ht="12.75">
      <c r="A493" s="41" t="s">
        <v>217</v>
      </c>
      <c r="B493" s="46"/>
      <c r="C493" s="7"/>
      <c r="D493" s="7">
        <f t="shared" si="21"/>
        <v>0</v>
      </c>
      <c r="E493" s="7">
        <f t="shared" si="23"/>
        <v>2320</v>
      </c>
      <c r="F493" s="7"/>
      <c r="G493" s="7">
        <v>1160</v>
      </c>
      <c r="H493" s="7"/>
      <c r="I493" s="7">
        <v>1160</v>
      </c>
      <c r="J493" s="7"/>
      <c r="K493" s="7"/>
      <c r="L493" s="7"/>
      <c r="M493" s="7"/>
    </row>
    <row r="494" spans="1:13" ht="12.75">
      <c r="A494" s="41" t="s">
        <v>67</v>
      </c>
      <c r="B494" s="46"/>
      <c r="C494" s="7"/>
      <c r="D494" s="7">
        <f t="shared" si="21"/>
        <v>0</v>
      </c>
      <c r="E494" s="7">
        <f t="shared" si="23"/>
        <v>9704</v>
      </c>
      <c r="F494" s="15"/>
      <c r="G494" s="76">
        <v>5430</v>
      </c>
      <c r="H494" s="7"/>
      <c r="I494" s="7">
        <v>4274</v>
      </c>
      <c r="J494" s="7"/>
      <c r="K494" s="7"/>
      <c r="L494" s="7"/>
      <c r="M494" s="7"/>
    </row>
    <row r="495" spans="1:13" ht="12.75">
      <c r="A495" s="41" t="s">
        <v>68</v>
      </c>
      <c r="B495" s="46"/>
      <c r="C495" s="7"/>
      <c r="D495" s="7">
        <f t="shared" si="21"/>
        <v>0</v>
      </c>
      <c r="E495" s="7">
        <f t="shared" si="23"/>
        <v>1320.5</v>
      </c>
      <c r="F495" s="7"/>
      <c r="G495" s="7"/>
      <c r="H495" s="7"/>
      <c r="I495" s="7">
        <v>1320.5</v>
      </c>
      <c r="J495" s="7"/>
      <c r="K495" s="7"/>
      <c r="L495" s="7"/>
      <c r="M495" s="7"/>
    </row>
    <row r="496" spans="1:13" ht="12.75">
      <c r="A496" s="41" t="s">
        <v>69</v>
      </c>
      <c r="B496" s="46"/>
      <c r="C496" s="7"/>
      <c r="D496" s="7">
        <f t="shared" si="21"/>
        <v>0</v>
      </c>
      <c r="E496" s="7">
        <f t="shared" si="23"/>
        <v>0</v>
      </c>
      <c r="F496" s="7"/>
      <c r="G496" s="7"/>
      <c r="H496" s="7"/>
      <c r="I496" s="7"/>
      <c r="J496" s="7"/>
      <c r="K496" s="7"/>
      <c r="L496" s="7"/>
      <c r="M496" s="7"/>
    </row>
    <row r="497" spans="1:13" ht="12.75">
      <c r="A497" s="41" t="s">
        <v>26</v>
      </c>
      <c r="B497" s="46"/>
      <c r="C497" s="7"/>
      <c r="D497" s="7">
        <f t="shared" si="21"/>
        <v>0</v>
      </c>
      <c r="E497" s="7">
        <f t="shared" si="23"/>
        <v>6521</v>
      </c>
      <c r="F497" s="7"/>
      <c r="G497" s="7"/>
      <c r="H497" s="7"/>
      <c r="I497" s="7">
        <v>6521</v>
      </c>
      <c r="J497" s="7"/>
      <c r="K497" s="7"/>
      <c r="L497" s="7"/>
      <c r="M497" s="7"/>
    </row>
    <row r="498" spans="1:13" ht="12.75">
      <c r="A498" s="41" t="s">
        <v>28</v>
      </c>
      <c r="B498" s="46"/>
      <c r="C498" s="7"/>
      <c r="D498" s="7">
        <f t="shared" si="21"/>
        <v>0</v>
      </c>
      <c r="E498" s="7">
        <f t="shared" si="23"/>
        <v>6792</v>
      </c>
      <c r="F498" s="7"/>
      <c r="G498" s="7"/>
      <c r="H498" s="7"/>
      <c r="I498" s="7">
        <v>6792</v>
      </c>
      <c r="J498" s="7"/>
      <c r="K498" s="7"/>
      <c r="L498" s="7"/>
      <c r="M498" s="7"/>
    </row>
    <row r="499" spans="1:13" ht="12.75">
      <c r="A499" s="41" t="s">
        <v>298</v>
      </c>
      <c r="B499" s="46"/>
      <c r="C499" s="7"/>
      <c r="D499" s="7">
        <f t="shared" si="21"/>
        <v>0</v>
      </c>
      <c r="E499" s="7">
        <f t="shared" si="23"/>
        <v>15626</v>
      </c>
      <c r="F499" s="7"/>
      <c r="G499" s="7"/>
      <c r="H499" s="7"/>
      <c r="I499" s="7"/>
      <c r="J499" s="7"/>
      <c r="K499" s="7">
        <v>15626</v>
      </c>
      <c r="L499" s="7"/>
      <c r="M499" s="7"/>
    </row>
    <row r="500" spans="1:13" ht="12.75">
      <c r="A500" s="41" t="s">
        <v>75</v>
      </c>
      <c r="B500" s="46"/>
      <c r="C500" s="7"/>
      <c r="D500" s="7">
        <f t="shared" si="21"/>
        <v>0</v>
      </c>
      <c r="E500" s="7">
        <f t="shared" si="23"/>
        <v>0</v>
      </c>
      <c r="F500" s="7"/>
      <c r="G500" s="7"/>
      <c r="H500" s="7"/>
      <c r="I500" s="7"/>
      <c r="J500" s="7"/>
      <c r="K500" s="7"/>
      <c r="L500" s="7"/>
      <c r="M500" s="7"/>
    </row>
    <row r="501" spans="1:13" ht="12.75">
      <c r="A501" s="41" t="s">
        <v>62</v>
      </c>
      <c r="B501" s="46"/>
      <c r="C501" s="7"/>
      <c r="D501" s="7">
        <f t="shared" si="21"/>
        <v>0</v>
      </c>
      <c r="E501" s="7">
        <f t="shared" si="23"/>
        <v>0</v>
      </c>
      <c r="F501" s="7"/>
      <c r="G501" s="7"/>
      <c r="H501" s="7"/>
      <c r="I501" s="7"/>
      <c r="J501" s="7"/>
      <c r="K501" s="7"/>
      <c r="L501" s="7"/>
      <c r="M501" s="7"/>
    </row>
    <row r="502" spans="1:13" ht="12.75">
      <c r="A502" s="41" t="s">
        <v>63</v>
      </c>
      <c r="B502" s="46"/>
      <c r="C502" s="7"/>
      <c r="D502" s="7">
        <f t="shared" si="21"/>
        <v>0</v>
      </c>
      <c r="E502" s="7">
        <f t="shared" si="23"/>
        <v>0</v>
      </c>
      <c r="F502" s="7"/>
      <c r="G502" s="7"/>
      <c r="H502" s="7"/>
      <c r="I502" s="7"/>
      <c r="J502" s="7"/>
      <c r="K502" s="7"/>
      <c r="L502" s="7"/>
      <c r="M502" s="7"/>
    </row>
    <row r="503" spans="1:13" ht="12.75">
      <c r="A503" s="41" t="s">
        <v>197</v>
      </c>
      <c r="B503" s="46"/>
      <c r="C503" s="7"/>
      <c r="D503" s="7">
        <f t="shared" si="21"/>
        <v>0</v>
      </c>
      <c r="E503" s="7">
        <f t="shared" si="23"/>
        <v>47.5</v>
      </c>
      <c r="F503" s="7"/>
      <c r="G503" s="7"/>
      <c r="H503" s="7"/>
      <c r="I503" s="7">
        <v>47.5</v>
      </c>
      <c r="J503" s="7"/>
      <c r="K503" s="7"/>
      <c r="L503" s="7"/>
      <c r="M503" s="7"/>
    </row>
    <row r="504" spans="1:13" ht="12.75">
      <c r="A504" s="41" t="s">
        <v>51</v>
      </c>
      <c r="B504" s="46"/>
      <c r="C504" s="7"/>
      <c r="D504" s="7">
        <f t="shared" si="21"/>
        <v>0</v>
      </c>
      <c r="E504" s="7">
        <f t="shared" si="23"/>
        <v>2560.65</v>
      </c>
      <c r="F504" s="7"/>
      <c r="G504" s="7"/>
      <c r="H504" s="7"/>
      <c r="I504" s="7">
        <v>2560.65</v>
      </c>
      <c r="J504" s="7"/>
      <c r="K504" s="7"/>
      <c r="L504" s="7"/>
      <c r="M504" s="7"/>
    </row>
    <row r="505" spans="1:13" ht="12.75">
      <c r="A505" s="58" t="s">
        <v>52</v>
      </c>
      <c r="B505" s="46"/>
      <c r="C505" s="7"/>
      <c r="D505" s="7">
        <f t="shared" si="21"/>
        <v>0</v>
      </c>
      <c r="E505" s="7">
        <f t="shared" si="23"/>
        <v>0</v>
      </c>
      <c r="F505" s="7"/>
      <c r="G505" s="7"/>
      <c r="H505" s="7"/>
      <c r="I505" s="7"/>
      <c r="J505" s="7"/>
      <c r="K505" s="7"/>
      <c r="L505" s="7"/>
      <c r="M505" s="7"/>
    </row>
    <row r="506" spans="1:13" ht="12.75">
      <c r="A506" s="41" t="s">
        <v>80</v>
      </c>
      <c r="B506" s="46"/>
      <c r="C506" s="7"/>
      <c r="D506" s="7">
        <f t="shared" si="21"/>
        <v>0</v>
      </c>
      <c r="E506" s="7">
        <f t="shared" si="23"/>
        <v>0</v>
      </c>
      <c r="F506" s="7"/>
      <c r="G506" s="7"/>
      <c r="H506" s="7"/>
      <c r="I506" s="7"/>
      <c r="J506" s="7"/>
      <c r="K506" s="7"/>
      <c r="L506" s="7"/>
      <c r="M506" s="7"/>
    </row>
    <row r="507" spans="1:13" ht="12.75">
      <c r="A507" s="41" t="s">
        <v>65</v>
      </c>
      <c r="B507" s="46"/>
      <c r="C507" s="7"/>
      <c r="D507" s="7">
        <f t="shared" si="21"/>
        <v>0</v>
      </c>
      <c r="E507" s="7">
        <f t="shared" si="23"/>
        <v>0</v>
      </c>
      <c r="F507" s="7"/>
      <c r="G507" s="7"/>
      <c r="H507" s="7"/>
      <c r="I507" s="7"/>
      <c r="J507" s="7"/>
      <c r="K507" s="7"/>
      <c r="L507" s="7"/>
      <c r="M507" s="7"/>
    </row>
    <row r="508" spans="1:13" ht="12.75">
      <c r="A508" s="41" t="s">
        <v>88</v>
      </c>
      <c r="B508" s="46"/>
      <c r="C508" s="7"/>
      <c r="D508" s="7">
        <f t="shared" si="21"/>
        <v>0</v>
      </c>
      <c r="E508" s="7">
        <f t="shared" si="23"/>
        <v>25.515980000000003</v>
      </c>
      <c r="F508" s="7"/>
      <c r="G508" s="7"/>
      <c r="H508" s="7"/>
      <c r="I508" s="7">
        <f>0.0071*C468</f>
        <v>25.515980000000003</v>
      </c>
      <c r="J508" s="7"/>
      <c r="K508" s="7"/>
      <c r="L508" s="7"/>
      <c r="M508" s="7"/>
    </row>
    <row r="509" spans="1:13" ht="12.75">
      <c r="A509" s="41" t="s">
        <v>33</v>
      </c>
      <c r="B509" s="46"/>
      <c r="C509" s="7"/>
      <c r="D509" s="7">
        <f t="shared" si="21"/>
        <v>0</v>
      </c>
      <c r="E509" s="7">
        <f t="shared" si="23"/>
        <v>0</v>
      </c>
      <c r="F509" s="7"/>
      <c r="G509" s="7"/>
      <c r="H509" s="7"/>
      <c r="I509" s="7"/>
      <c r="J509" s="7"/>
      <c r="K509" s="7"/>
      <c r="L509" s="7"/>
      <c r="M509" s="7"/>
    </row>
    <row r="510" spans="1:13" ht="12.75">
      <c r="A510" s="41" t="s">
        <v>50</v>
      </c>
      <c r="B510" s="46"/>
      <c r="C510" s="7"/>
      <c r="D510" s="7">
        <f t="shared" si="21"/>
        <v>0</v>
      </c>
      <c r="E510" s="7">
        <f t="shared" si="23"/>
        <v>2967.4006600000002</v>
      </c>
      <c r="F510" s="7"/>
      <c r="G510" s="7">
        <f>0.2455*C468</f>
        <v>882.2779</v>
      </c>
      <c r="H510" s="7"/>
      <c r="I510" s="7">
        <f>0.5802*C468</f>
        <v>2085.12276</v>
      </c>
      <c r="J510" s="7"/>
      <c r="K510" s="7"/>
      <c r="L510" s="7"/>
      <c r="M510" s="7"/>
    </row>
    <row r="511" spans="1:13" ht="12.75">
      <c r="A511" s="41" t="s">
        <v>54</v>
      </c>
      <c r="B511" s="44"/>
      <c r="C511" s="45"/>
      <c r="D511" s="7">
        <f t="shared" si="21"/>
        <v>0</v>
      </c>
      <c r="E511" s="7">
        <f t="shared" si="23"/>
        <v>28.03164</v>
      </c>
      <c r="F511" s="45"/>
      <c r="G511" s="7"/>
      <c r="H511" s="7"/>
      <c r="I511" s="7">
        <f>0.0078*C468</f>
        <v>28.03164</v>
      </c>
      <c r="J511" s="7"/>
      <c r="K511" s="7"/>
      <c r="L511" s="7"/>
      <c r="M511" s="7"/>
    </row>
    <row r="512" spans="1:13" ht="13.5" thickBot="1">
      <c r="A512" s="48" t="s">
        <v>141</v>
      </c>
      <c r="B512" s="85"/>
      <c r="C512" s="88"/>
      <c r="D512" s="50">
        <f t="shared" si="21"/>
        <v>0</v>
      </c>
      <c r="E512" s="50">
        <f t="shared" si="23"/>
        <v>180</v>
      </c>
      <c r="F512" s="88"/>
      <c r="G512" s="50">
        <v>180</v>
      </c>
      <c r="H512" s="50"/>
      <c r="I512" s="50"/>
      <c r="J512" s="50"/>
      <c r="K512" s="50"/>
      <c r="L512" s="50"/>
      <c r="M512" s="50"/>
    </row>
    <row r="513" spans="1:13" ht="13.5" thickBot="1">
      <c r="A513" s="59" t="s">
        <v>10</v>
      </c>
      <c r="B513" s="81"/>
      <c r="C513" s="63"/>
      <c r="D513" s="63">
        <f t="shared" si="21"/>
        <v>0</v>
      </c>
      <c r="E513" s="63">
        <f t="shared" si="23"/>
        <v>97526.32354400001</v>
      </c>
      <c r="F513" s="63"/>
      <c r="G513" s="63">
        <f>SUM(G492:G512)</f>
        <v>31850.087998000003</v>
      </c>
      <c r="H513" s="63"/>
      <c r="I513" s="63">
        <f>SUM(I492:I512)</f>
        <v>50050.235546</v>
      </c>
      <c r="J513" s="63"/>
      <c r="K513" s="63">
        <f>SUM(K492:K512)</f>
        <v>15626</v>
      </c>
      <c r="L513" s="63"/>
      <c r="M513" s="29"/>
    </row>
    <row r="514" spans="1:13" ht="12.75">
      <c r="A514" s="60" t="s">
        <v>42</v>
      </c>
      <c r="B514" s="61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</row>
    <row r="515" spans="1:13" ht="12.75">
      <c r="A515" s="95" t="s">
        <v>56</v>
      </c>
      <c r="B515" s="61"/>
      <c r="C515" s="56"/>
      <c r="D515" s="56"/>
      <c r="E515" s="56">
        <f>G515+I515+K515+M515</f>
        <v>0</v>
      </c>
      <c r="F515" s="56"/>
      <c r="G515" s="56"/>
      <c r="H515" s="56"/>
      <c r="I515" s="56"/>
      <c r="J515" s="56"/>
      <c r="K515" s="56"/>
      <c r="L515" s="56"/>
      <c r="M515" s="56"/>
    </row>
    <row r="516" spans="1:13" ht="12.75">
      <c r="A516" s="41" t="s">
        <v>216</v>
      </c>
      <c r="B516" s="115"/>
      <c r="C516" s="116"/>
      <c r="D516" s="116"/>
      <c r="E516" s="56">
        <f>G516+I516+K516+M516</f>
        <v>200</v>
      </c>
      <c r="F516" s="116"/>
      <c r="G516" s="116"/>
      <c r="H516" s="116"/>
      <c r="I516" s="116">
        <v>200</v>
      </c>
      <c r="J516" s="116"/>
      <c r="K516" s="116"/>
      <c r="L516" s="116"/>
      <c r="M516" s="116"/>
    </row>
    <row r="517" spans="1:13" ht="13.5" thickBot="1">
      <c r="A517" s="48" t="s">
        <v>16</v>
      </c>
      <c r="B517" s="49"/>
      <c r="C517" s="50"/>
      <c r="D517" s="50">
        <f t="shared" si="21"/>
        <v>0</v>
      </c>
      <c r="E517" s="56">
        <f>G517+I517+K517+M517</f>
        <v>31.984820000000003</v>
      </c>
      <c r="F517" s="50"/>
      <c r="G517" s="50">
        <f>0.0089*C468</f>
        <v>31.984820000000003</v>
      </c>
      <c r="H517" s="50"/>
      <c r="I517" s="50"/>
      <c r="J517" s="50"/>
      <c r="K517" s="50"/>
      <c r="L517" s="50"/>
      <c r="M517" s="50"/>
    </row>
    <row r="518" spans="1:13" ht="13.5" thickBot="1">
      <c r="A518" s="62" t="s">
        <v>10</v>
      </c>
      <c r="B518" s="81"/>
      <c r="C518" s="63"/>
      <c r="D518" s="63">
        <f t="shared" si="21"/>
        <v>0</v>
      </c>
      <c r="E518" s="63">
        <f t="shared" si="23"/>
        <v>231.98482</v>
      </c>
      <c r="F518" s="63"/>
      <c r="G518" s="63">
        <f>SUM(G515:G517)</f>
        <v>31.984820000000003</v>
      </c>
      <c r="H518" s="63"/>
      <c r="I518" s="63">
        <f>SUM(I515:I517)</f>
        <v>200</v>
      </c>
      <c r="J518" s="63"/>
      <c r="K518" s="63"/>
      <c r="L518" s="63"/>
      <c r="M518" s="29"/>
    </row>
    <row r="519" spans="1:13" ht="13.5" thickBot="1">
      <c r="A519" s="64" t="s">
        <v>29</v>
      </c>
      <c r="B519" s="81"/>
      <c r="C519" s="63"/>
      <c r="D519" s="63">
        <f t="shared" si="21"/>
        <v>0</v>
      </c>
      <c r="E519" s="63">
        <f t="shared" si="23"/>
        <v>3668.1916599999995</v>
      </c>
      <c r="F519" s="63"/>
      <c r="G519" s="63">
        <f>0.4236*C468</f>
        <v>1522.33368</v>
      </c>
      <c r="H519" s="63"/>
      <c r="I519" s="63">
        <f>0.5971*C468</f>
        <v>2145.8579799999998</v>
      </c>
      <c r="J519" s="63"/>
      <c r="K519" s="63"/>
      <c r="L519" s="63"/>
      <c r="M519" s="29"/>
    </row>
    <row r="520" spans="1:13" ht="21.75">
      <c r="A520" s="65" t="s">
        <v>83</v>
      </c>
      <c r="B520" s="55"/>
      <c r="C520" s="66"/>
      <c r="D520" s="56">
        <f t="shared" si="21"/>
        <v>0</v>
      </c>
      <c r="E520" s="56">
        <f>E490+E513+E518+E519</f>
        <v>238851.87256400005</v>
      </c>
      <c r="F520" s="66"/>
      <c r="G520" s="56">
        <f>G490+G513+G518+G519</f>
        <v>99225.05460999999</v>
      </c>
      <c r="H520" s="56"/>
      <c r="I520" s="56">
        <f>I490+I513+I518+I519</f>
        <v>124000.81795400003</v>
      </c>
      <c r="J520" s="56"/>
      <c r="K520" s="56">
        <f>K513</f>
        <v>15626</v>
      </c>
      <c r="L520" s="56"/>
      <c r="M520" s="56"/>
    </row>
    <row r="521" spans="1:13" ht="33.75">
      <c r="A521" s="67" t="s">
        <v>84</v>
      </c>
      <c r="B521" s="46"/>
      <c r="C521" s="45"/>
      <c r="D521" s="45"/>
      <c r="E521" s="8">
        <f>E520/6/C468</f>
        <v>11.077034177565068</v>
      </c>
      <c r="F521" s="45"/>
      <c r="G521" s="8">
        <f>G520/3/C468</f>
        <v>9.203355279462778</v>
      </c>
      <c r="H521" s="2"/>
      <c r="I521" s="8">
        <f>I520/3/C468</f>
        <v>11.501365124566385</v>
      </c>
      <c r="J521" s="2"/>
      <c r="K521" s="8">
        <f>K520/1/C468</f>
        <v>4.348043853302911</v>
      </c>
      <c r="L521" s="2"/>
      <c r="M521" s="2"/>
    </row>
    <row r="522" spans="1:13" ht="12.75">
      <c r="A522" s="69" t="s">
        <v>20</v>
      </c>
      <c r="B522" s="44"/>
      <c r="C522" s="45"/>
      <c r="D522" s="45"/>
      <c r="E522" s="7">
        <f>E473-E520</f>
        <v>-3825.7625640000624</v>
      </c>
      <c r="F522" s="45"/>
      <c r="G522" s="7">
        <f>G473-G520</f>
        <v>-14178.844609999986</v>
      </c>
      <c r="H522" s="2"/>
      <c r="I522" s="7">
        <f>I473-I520-14179</f>
        <v>-36300.597954000026</v>
      </c>
      <c r="J522" s="2"/>
      <c r="K522" s="7">
        <f>K473-K520-36301</f>
        <v>-5801.82</v>
      </c>
      <c r="L522" s="2"/>
      <c r="M522" s="75">
        <f>M473-M520-5802</f>
        <v>-3826.5</v>
      </c>
    </row>
    <row r="523" spans="1:13" ht="12.75">
      <c r="A523" s="14" t="s">
        <v>24</v>
      </c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1:13" ht="12.75">
      <c r="A524" s="14" t="s">
        <v>25</v>
      </c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1:13" ht="12.75">
      <c r="A525" s="14" t="s">
        <v>35</v>
      </c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1:13" ht="206.2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1:13" ht="14.2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1:13" ht="37.5" customHeight="1" hidden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1:13" ht="12.75">
      <c r="A529" s="31" t="s">
        <v>21</v>
      </c>
      <c r="B529" s="31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1:13" ht="12.75">
      <c r="A530" s="14" t="s">
        <v>31</v>
      </c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1:13" ht="12.75">
      <c r="A531" s="14" t="s">
        <v>41</v>
      </c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1:13" ht="12.75">
      <c r="A532" s="14" t="s">
        <v>106</v>
      </c>
      <c r="B532" s="14"/>
      <c r="C532" s="14"/>
      <c r="D532" s="14"/>
      <c r="E532" s="14" t="s">
        <v>32</v>
      </c>
      <c r="F532" s="14"/>
      <c r="G532" s="14"/>
      <c r="H532" s="14"/>
      <c r="I532" s="14"/>
      <c r="J532" s="14"/>
      <c r="K532" s="14"/>
      <c r="L532" s="14"/>
      <c r="M532" s="14"/>
    </row>
    <row r="533" spans="1:13" ht="27" customHeight="1">
      <c r="A533" s="6" t="s">
        <v>0</v>
      </c>
      <c r="B533" s="151" t="s">
        <v>38</v>
      </c>
      <c r="C533" s="152"/>
      <c r="D533" s="149" t="s">
        <v>39</v>
      </c>
      <c r="E533" s="150"/>
      <c r="F533" s="149" t="s">
        <v>96</v>
      </c>
      <c r="G533" s="150"/>
      <c r="H533" s="149" t="s">
        <v>97</v>
      </c>
      <c r="I533" s="150"/>
      <c r="J533" s="149" t="s">
        <v>98</v>
      </c>
      <c r="K533" s="150"/>
      <c r="L533" s="149" t="s">
        <v>99</v>
      </c>
      <c r="M533" s="150"/>
    </row>
    <row r="534" spans="1:13" ht="12.75">
      <c r="A534" s="11" t="s">
        <v>5</v>
      </c>
      <c r="B534" s="153"/>
      <c r="C534" s="154"/>
      <c r="D534" s="6" t="s">
        <v>40</v>
      </c>
      <c r="E534" s="6" t="s">
        <v>22</v>
      </c>
      <c r="F534" s="6" t="s">
        <v>40</v>
      </c>
      <c r="G534" s="13" t="s">
        <v>22</v>
      </c>
      <c r="H534" s="2"/>
      <c r="I534" s="2"/>
      <c r="J534" s="2"/>
      <c r="K534" s="2"/>
      <c r="L534" s="2"/>
      <c r="M534" s="2"/>
    </row>
    <row r="535" spans="1:13" ht="12.75">
      <c r="A535" s="2" t="s">
        <v>1</v>
      </c>
      <c r="B535" s="2"/>
      <c r="C535" s="6">
        <v>5</v>
      </c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2.75">
      <c r="A536" s="2" t="s">
        <v>2</v>
      </c>
      <c r="B536" s="2"/>
      <c r="C536" s="6">
        <v>6</v>
      </c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2.75">
      <c r="A537" s="2" t="s">
        <v>3</v>
      </c>
      <c r="B537" s="2"/>
      <c r="C537" s="6">
        <v>60</v>
      </c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2.75">
      <c r="A538" s="2" t="s">
        <v>4</v>
      </c>
      <c r="B538" s="6"/>
      <c r="C538" s="6">
        <v>3614.28</v>
      </c>
      <c r="D538" s="6"/>
      <c r="E538" s="6"/>
      <c r="F538" s="6"/>
      <c r="G538" s="2"/>
      <c r="H538" s="2"/>
      <c r="I538" s="2"/>
      <c r="J538" s="2"/>
      <c r="K538" s="2">
        <v>3611.65</v>
      </c>
      <c r="L538" s="2"/>
      <c r="M538" s="2"/>
    </row>
    <row r="539" spans="1:13" ht="21.75">
      <c r="A539" s="35" t="s">
        <v>6</v>
      </c>
      <c r="B539" s="11" t="s">
        <v>40</v>
      </c>
      <c r="C539" s="2" t="s">
        <v>22</v>
      </c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22.5">
      <c r="A540" s="40" t="s">
        <v>7</v>
      </c>
      <c r="B540" s="3"/>
      <c r="C540" s="6"/>
      <c r="D540" s="6">
        <f>L540</f>
        <v>0</v>
      </c>
      <c r="E540" s="2">
        <f>G540+I540+K540+M540</f>
        <v>380350.58999999997</v>
      </c>
      <c r="F540" s="2"/>
      <c r="G540" s="6">
        <v>82213.56</v>
      </c>
      <c r="H540" s="2"/>
      <c r="I540" s="2">
        <v>93737.3</v>
      </c>
      <c r="J540" s="2"/>
      <c r="K540" s="2">
        <v>105078.06</v>
      </c>
      <c r="L540" s="2"/>
      <c r="M540" s="2">
        <v>99321.67</v>
      </c>
    </row>
    <row r="541" spans="1:13" ht="12.75">
      <c r="A541" s="41" t="s">
        <v>8</v>
      </c>
      <c r="B541" s="3"/>
      <c r="C541" s="6"/>
      <c r="D541" s="6"/>
      <c r="E541" s="1"/>
      <c r="F541" s="2"/>
      <c r="G541" s="6"/>
      <c r="H541" s="2"/>
      <c r="I541" s="2"/>
      <c r="J541" s="2"/>
      <c r="K541" s="2"/>
      <c r="L541" s="2"/>
      <c r="M541" s="2"/>
    </row>
    <row r="542" spans="1:13" ht="12.75">
      <c r="A542" s="41" t="s">
        <v>9</v>
      </c>
      <c r="B542" s="3"/>
      <c r="C542" s="6"/>
      <c r="D542" s="6"/>
      <c r="E542" s="1"/>
      <c r="F542" s="2"/>
      <c r="G542" s="6"/>
      <c r="H542" s="2"/>
      <c r="I542" s="2"/>
      <c r="J542" s="2"/>
      <c r="K542" s="2"/>
      <c r="L542" s="2"/>
      <c r="M542" s="2"/>
    </row>
    <row r="543" spans="1:13" ht="12.75">
      <c r="A543" s="2" t="s">
        <v>10</v>
      </c>
      <c r="B543" s="42"/>
      <c r="C543" s="11"/>
      <c r="D543" s="11">
        <f>SUM(D540:D542)</f>
        <v>0</v>
      </c>
      <c r="E543" s="2">
        <f>SUM(E540:E542)</f>
        <v>380350.58999999997</v>
      </c>
      <c r="F543" s="37"/>
      <c r="G543" s="11">
        <f>SUM(G540:G542)</f>
        <v>82213.56</v>
      </c>
      <c r="H543" s="2"/>
      <c r="I543" s="2">
        <f>SUM(I540:I542)</f>
        <v>93737.3</v>
      </c>
      <c r="J543" s="2"/>
      <c r="K543" s="2">
        <f>SUM(K540:K542)</f>
        <v>105078.06</v>
      </c>
      <c r="L543" s="2"/>
      <c r="M543" s="2">
        <f>SUM(M540:M542)</f>
        <v>99321.67</v>
      </c>
    </row>
    <row r="544" spans="1:13" ht="21.75">
      <c r="A544" s="35" t="s">
        <v>82</v>
      </c>
      <c r="B544" s="42"/>
      <c r="C544" s="2"/>
      <c r="D544" s="2"/>
      <c r="E544" s="1"/>
      <c r="F544" s="2"/>
      <c r="G544" s="2"/>
      <c r="H544" s="2"/>
      <c r="I544" s="2"/>
      <c r="J544" s="2"/>
      <c r="K544" s="2"/>
      <c r="L544" s="2"/>
      <c r="M544" s="2"/>
    </row>
    <row r="545" spans="1:13" ht="12.75">
      <c r="A545" s="43" t="s">
        <v>11</v>
      </c>
      <c r="B545" s="44"/>
      <c r="C545" s="45"/>
      <c r="D545" s="45">
        <f>F545+H545+J545+L545</f>
        <v>0</v>
      </c>
      <c r="E545" s="45">
        <f>G545+I545+K545+M545</f>
        <v>117858.5962632</v>
      </c>
      <c r="F545" s="45"/>
      <c r="G545" s="45">
        <f>7.99407*C538</f>
        <v>28892.8073196</v>
      </c>
      <c r="H545" s="37"/>
      <c r="I545" s="45">
        <f>9.57707*C538</f>
        <v>34614.212559600004</v>
      </c>
      <c r="J545" s="37"/>
      <c r="K545" s="37">
        <f>7.32829*K538</f>
        <v>26467.2185785</v>
      </c>
      <c r="L545" s="37"/>
      <c r="M545" s="11">
        <f>7.72067*K538</f>
        <v>27884.3578055</v>
      </c>
    </row>
    <row r="546" spans="1:13" ht="12.75">
      <c r="A546" s="43" t="s">
        <v>12</v>
      </c>
      <c r="B546" s="46"/>
      <c r="C546" s="7"/>
      <c r="D546" s="7">
        <f aca="true" t="shared" si="24" ref="D546:D594">F546+H546+J546+L546</f>
        <v>0</v>
      </c>
      <c r="E546" s="7">
        <f aca="true" t="shared" si="25" ref="E546:E593">G546+I546+K546+M546</f>
        <v>0</v>
      </c>
      <c r="F546" s="7"/>
      <c r="G546" s="7"/>
      <c r="H546" s="2"/>
      <c r="I546" s="7"/>
      <c r="J546" s="2"/>
      <c r="K546" s="2"/>
      <c r="L546" s="2"/>
      <c r="M546" s="6"/>
    </row>
    <row r="547" spans="1:13" ht="12.75">
      <c r="A547" s="41" t="s">
        <v>13</v>
      </c>
      <c r="B547" s="46"/>
      <c r="C547" s="7"/>
      <c r="D547" s="7">
        <f t="shared" si="24"/>
        <v>0</v>
      </c>
      <c r="E547" s="7">
        <f t="shared" si="25"/>
        <v>153293.1630198</v>
      </c>
      <c r="F547" s="7"/>
      <c r="G547" s="7">
        <f>G548+G550+G551+G552+G554+G555+G556+G557+G558+G559+G560</f>
        <v>36072.635467600005</v>
      </c>
      <c r="H547" s="2"/>
      <c r="I547" s="7">
        <f>I548+I550+I551+I552+I554+I555+I556+I557+I558+I559+I560</f>
        <v>37594.917577199994</v>
      </c>
      <c r="J547" s="2"/>
      <c r="K547" s="7">
        <f>K548+K550+K551+K552+K553+K554+K555+K556+K557+K558+K559+K560</f>
        <v>47177.665624999994</v>
      </c>
      <c r="L547" s="2"/>
      <c r="M547" s="7">
        <f>M548+M550+M551+M552+M553+M554+M555+M556+M557+M558+M559+M560</f>
        <v>32447.944349999998</v>
      </c>
    </row>
    <row r="548" spans="1:13" ht="12.75">
      <c r="A548" s="47" t="s">
        <v>14</v>
      </c>
      <c r="B548" s="46"/>
      <c r="C548" s="71"/>
      <c r="D548" s="7">
        <f t="shared" si="24"/>
        <v>0</v>
      </c>
      <c r="E548" s="7">
        <f t="shared" si="25"/>
        <v>130318</v>
      </c>
      <c r="F548" s="7"/>
      <c r="G548" s="7">
        <v>33670</v>
      </c>
      <c r="H548" s="2"/>
      <c r="I548" s="7">
        <v>32601</v>
      </c>
      <c r="J548" s="2"/>
      <c r="K548" s="7">
        <v>34172</v>
      </c>
      <c r="L548" s="2"/>
      <c r="M548" s="7">
        <v>29875</v>
      </c>
    </row>
    <row r="549" spans="1:13" ht="12.75">
      <c r="A549" s="41" t="s">
        <v>19</v>
      </c>
      <c r="B549" s="46"/>
      <c r="C549" s="71"/>
      <c r="D549" s="7">
        <f t="shared" si="24"/>
        <v>0</v>
      </c>
      <c r="E549" s="7">
        <f t="shared" si="25"/>
        <v>86434.15</v>
      </c>
      <c r="F549" s="7"/>
      <c r="G549" s="7">
        <v>21619.15</v>
      </c>
      <c r="H549" s="2"/>
      <c r="I549" s="7">
        <v>21619</v>
      </c>
      <c r="J549" s="2"/>
      <c r="K549" s="7">
        <v>21598</v>
      </c>
      <c r="L549" s="2"/>
      <c r="M549" s="7">
        <v>21598</v>
      </c>
    </row>
    <row r="550" spans="1:13" ht="12.75">
      <c r="A550" s="41" t="s">
        <v>18</v>
      </c>
      <c r="B550" s="46"/>
      <c r="C550" s="7"/>
      <c r="D550" s="7">
        <f t="shared" si="24"/>
        <v>0</v>
      </c>
      <c r="E550" s="7">
        <f t="shared" si="25"/>
        <v>1346.19</v>
      </c>
      <c r="F550" s="7"/>
      <c r="G550" s="7">
        <v>211.11</v>
      </c>
      <c r="H550" s="2"/>
      <c r="I550" s="7">
        <v>297</v>
      </c>
      <c r="J550" s="2"/>
      <c r="K550" s="7">
        <v>402.32</v>
      </c>
      <c r="L550" s="2"/>
      <c r="M550" s="7">
        <v>435.76</v>
      </c>
    </row>
    <row r="551" spans="1:13" ht="12.75">
      <c r="A551" s="41" t="s">
        <v>53</v>
      </c>
      <c r="B551" s="46"/>
      <c r="C551" s="7"/>
      <c r="D551" s="7">
        <f t="shared" si="24"/>
        <v>0</v>
      </c>
      <c r="E551" s="7">
        <f t="shared" si="25"/>
        <v>8825.2093268</v>
      </c>
      <c r="F551" s="7"/>
      <c r="G551" s="7">
        <f>0.54857*C538</f>
        <v>1982.6855796000002</v>
      </c>
      <c r="H551" s="2"/>
      <c r="I551" s="7">
        <f>0.53049*C538</f>
        <v>1917.3393972000001</v>
      </c>
      <c r="J551" s="2"/>
      <c r="K551" s="7">
        <v>4062</v>
      </c>
      <c r="L551" s="2"/>
      <c r="M551" s="7">
        <f>0.239*K538</f>
        <v>863.18435</v>
      </c>
    </row>
    <row r="552" spans="1:13" ht="12.75">
      <c r="A552" s="41" t="s">
        <v>148</v>
      </c>
      <c r="B552" s="46"/>
      <c r="C552" s="7"/>
      <c r="D552" s="7">
        <f t="shared" si="24"/>
        <v>0</v>
      </c>
      <c r="E552" s="7">
        <f t="shared" si="25"/>
        <v>138</v>
      </c>
      <c r="F552" s="7"/>
      <c r="G552" s="7">
        <v>138</v>
      </c>
      <c r="H552" s="2"/>
      <c r="I552" s="7"/>
      <c r="J552" s="2"/>
      <c r="K552" s="7"/>
      <c r="L552" s="2"/>
      <c r="M552" s="7"/>
    </row>
    <row r="553" spans="1:13" ht="12.75">
      <c r="A553" s="41" t="s">
        <v>248</v>
      </c>
      <c r="B553" s="46"/>
      <c r="C553" s="7"/>
      <c r="D553" s="7"/>
      <c r="E553" s="7"/>
      <c r="F553" s="7"/>
      <c r="G553" s="7"/>
      <c r="H553" s="2"/>
      <c r="I553" s="7"/>
      <c r="J553" s="2"/>
      <c r="K553" s="7">
        <v>5227.2</v>
      </c>
      <c r="L553" s="2"/>
      <c r="M553" s="7"/>
    </row>
    <row r="554" spans="1:13" ht="12.75">
      <c r="A554" s="41" t="s">
        <v>27</v>
      </c>
      <c r="B554" s="46"/>
      <c r="C554" s="7"/>
      <c r="D554" s="7">
        <f t="shared" si="24"/>
        <v>0</v>
      </c>
      <c r="E554" s="7">
        <f t="shared" si="25"/>
        <v>409</v>
      </c>
      <c r="F554" s="7"/>
      <c r="G554" s="7"/>
      <c r="H554" s="2"/>
      <c r="I554" s="7">
        <v>409</v>
      </c>
      <c r="J554" s="2"/>
      <c r="K554" s="7"/>
      <c r="L554" s="2"/>
      <c r="M554" s="7"/>
    </row>
    <row r="555" spans="1:13" ht="12.75">
      <c r="A555" s="41" t="s">
        <v>36</v>
      </c>
      <c r="B555" s="46"/>
      <c r="C555" s="7"/>
      <c r="D555" s="7"/>
      <c r="E555" s="7">
        <f t="shared" si="25"/>
        <v>6666</v>
      </c>
      <c r="F555" s="7"/>
      <c r="G555" s="7"/>
      <c r="H555" s="2" t="s">
        <v>218</v>
      </c>
      <c r="I555" s="7">
        <v>2123</v>
      </c>
      <c r="J555" s="2" t="s">
        <v>299</v>
      </c>
      <c r="K555" s="7">
        <v>3269</v>
      </c>
      <c r="L555" s="2">
        <v>624</v>
      </c>
      <c r="M555" s="7">
        <v>1274</v>
      </c>
    </row>
    <row r="556" spans="1:13" ht="12.75">
      <c r="A556" s="41" t="s">
        <v>58</v>
      </c>
      <c r="B556" s="46"/>
      <c r="C556" s="7"/>
      <c r="D556" s="7">
        <f t="shared" si="24"/>
        <v>0</v>
      </c>
      <c r="E556" s="7">
        <f t="shared" si="25"/>
        <v>0</v>
      </c>
      <c r="F556" s="7"/>
      <c r="G556" s="7"/>
      <c r="H556" s="2"/>
      <c r="I556" s="7"/>
      <c r="J556" s="2"/>
      <c r="K556" s="7"/>
      <c r="L556" s="2"/>
      <c r="M556" s="7"/>
    </row>
    <row r="557" spans="1:13" ht="12.75">
      <c r="A557" s="41" t="s">
        <v>43</v>
      </c>
      <c r="B557" s="46"/>
      <c r="C557" s="7"/>
      <c r="D557" s="7">
        <f t="shared" si="24"/>
        <v>0</v>
      </c>
      <c r="E557" s="7">
        <f t="shared" si="25"/>
        <v>0</v>
      </c>
      <c r="F557" s="7"/>
      <c r="G557" s="7"/>
      <c r="H557" s="2"/>
      <c r="I557" s="7"/>
      <c r="J557" s="2"/>
      <c r="K557" s="7"/>
      <c r="L557" s="2"/>
      <c r="M557" s="7"/>
    </row>
    <row r="558" spans="1:13" ht="12.75">
      <c r="A558" s="41" t="s">
        <v>30</v>
      </c>
      <c r="B558" s="46"/>
      <c r="C558" s="7"/>
      <c r="D558" s="7">
        <f t="shared" si="24"/>
        <v>0</v>
      </c>
      <c r="E558" s="7">
        <f t="shared" si="25"/>
        <v>0</v>
      </c>
      <c r="F558" s="7"/>
      <c r="G558" s="7"/>
      <c r="H558" s="2"/>
      <c r="I558" s="7"/>
      <c r="J558" s="2"/>
      <c r="K558" s="7"/>
      <c r="L558" s="2"/>
      <c r="M558" s="7"/>
    </row>
    <row r="559" spans="1:13" ht="12.75">
      <c r="A559" s="41" t="s">
        <v>54</v>
      </c>
      <c r="B559" s="46"/>
      <c r="C559" s="7"/>
      <c r="D559" s="7">
        <f t="shared" si="24"/>
        <v>0</v>
      </c>
      <c r="E559" s="7">
        <f t="shared" si="25"/>
        <v>70.839888</v>
      </c>
      <c r="F559" s="7"/>
      <c r="G559" s="7">
        <f>0.0196*C538</f>
        <v>70.839888</v>
      </c>
      <c r="H559" s="2"/>
      <c r="I559" s="7"/>
      <c r="J559" s="2"/>
      <c r="K559" s="7"/>
      <c r="L559" s="2"/>
      <c r="M559" s="7"/>
    </row>
    <row r="560" spans="1:13" ht="12.75" customHeight="1" thickBot="1">
      <c r="A560" s="48" t="s">
        <v>55</v>
      </c>
      <c r="B560" s="49"/>
      <c r="C560" s="50"/>
      <c r="D560" s="50">
        <f t="shared" si="24"/>
        <v>0</v>
      </c>
      <c r="E560" s="50">
        <f t="shared" si="25"/>
        <v>292.723805</v>
      </c>
      <c r="F560" s="50"/>
      <c r="G560" s="50"/>
      <c r="H560" s="22"/>
      <c r="I560" s="50">
        <f>0.0685*C538</f>
        <v>247.57818000000003</v>
      </c>
      <c r="J560" s="22"/>
      <c r="K560" s="50">
        <f>0.0125*K538</f>
        <v>45.145625</v>
      </c>
      <c r="L560" s="22"/>
      <c r="M560" s="50"/>
    </row>
    <row r="561" spans="1:13" ht="13.5" thickBot="1">
      <c r="A561" s="51" t="s">
        <v>76</v>
      </c>
      <c r="B561" s="81"/>
      <c r="C561" s="63"/>
      <c r="D561" s="63">
        <f t="shared" si="24"/>
        <v>0</v>
      </c>
      <c r="E561" s="63">
        <f t="shared" si="25"/>
        <v>271151.759283</v>
      </c>
      <c r="F561" s="63"/>
      <c r="G561" s="63">
        <f>G545+G547</f>
        <v>64965.44278720001</v>
      </c>
      <c r="H561" s="26"/>
      <c r="I561" s="63">
        <f>I545+I547</f>
        <v>72209.1301368</v>
      </c>
      <c r="J561" s="26"/>
      <c r="K561" s="63">
        <f>K545+K547</f>
        <v>73644.8842035</v>
      </c>
      <c r="L561" s="26"/>
      <c r="M561" s="29">
        <f>M545+M547</f>
        <v>60332.3021555</v>
      </c>
    </row>
    <row r="562" spans="1:13" ht="21.75">
      <c r="A562" s="54" t="s">
        <v>15</v>
      </c>
      <c r="B562" s="55"/>
      <c r="C562" s="66"/>
      <c r="D562" s="56">
        <f t="shared" si="24"/>
        <v>0</v>
      </c>
      <c r="E562" s="56">
        <f t="shared" si="25"/>
        <v>0</v>
      </c>
      <c r="F562" s="66"/>
      <c r="G562" s="66"/>
      <c r="H562" s="74"/>
      <c r="I562" s="56"/>
      <c r="J562" s="74"/>
      <c r="K562" s="56"/>
      <c r="L562" s="74"/>
      <c r="M562" s="56"/>
    </row>
    <row r="563" spans="1:13" ht="12.75">
      <c r="A563" s="41" t="s">
        <v>17</v>
      </c>
      <c r="B563" s="46"/>
      <c r="C563" s="7"/>
      <c r="D563" s="7">
        <f t="shared" si="24"/>
        <v>0</v>
      </c>
      <c r="E563" s="7">
        <f t="shared" si="25"/>
        <v>102142.9754779</v>
      </c>
      <c r="F563" s="7"/>
      <c r="G563" s="7">
        <f>6.73321*C538</f>
        <v>24335.7062388</v>
      </c>
      <c r="H563" s="2"/>
      <c r="I563" s="7">
        <f>7.02207*C538</f>
        <v>25379.727159600003</v>
      </c>
      <c r="J563" s="2"/>
      <c r="K563" s="7">
        <f>7.2754*K538</f>
        <v>26276.19841</v>
      </c>
      <c r="L563" s="2"/>
      <c r="M563" s="7">
        <f>7.24083*K538</f>
        <v>26151.343669500002</v>
      </c>
    </row>
    <row r="564" spans="1:13" ht="12.75">
      <c r="A564" s="41" t="s">
        <v>219</v>
      </c>
      <c r="B564" s="46"/>
      <c r="C564" s="71"/>
      <c r="D564" s="7">
        <f t="shared" si="24"/>
        <v>0</v>
      </c>
      <c r="E564" s="7">
        <f t="shared" si="25"/>
        <v>7280</v>
      </c>
      <c r="F564" s="7"/>
      <c r="G564" s="7"/>
      <c r="H564" s="2"/>
      <c r="I564" s="7">
        <v>7280</v>
      </c>
      <c r="J564" s="2"/>
      <c r="K564" s="7"/>
      <c r="L564" s="2"/>
      <c r="M564" s="7"/>
    </row>
    <row r="565" spans="1:13" ht="12.75">
      <c r="A565" s="41" t="s">
        <v>67</v>
      </c>
      <c r="B565" s="46"/>
      <c r="C565" s="7"/>
      <c r="D565" s="7">
        <f t="shared" si="24"/>
        <v>0</v>
      </c>
      <c r="E565" s="7">
        <f t="shared" si="25"/>
        <v>5474.6</v>
      </c>
      <c r="F565" s="7"/>
      <c r="G565" s="45">
        <v>4500.5</v>
      </c>
      <c r="H565" s="2"/>
      <c r="I565" s="7"/>
      <c r="J565" s="2"/>
      <c r="K565" s="7">
        <v>126</v>
      </c>
      <c r="L565" s="2"/>
      <c r="M565" s="7">
        <v>848.1</v>
      </c>
    </row>
    <row r="566" spans="1:13" ht="12.75">
      <c r="A566" s="41" t="s">
        <v>68</v>
      </c>
      <c r="B566" s="46"/>
      <c r="C566" s="7"/>
      <c r="D566" s="7">
        <f t="shared" si="24"/>
        <v>0</v>
      </c>
      <c r="E566" s="7">
        <f t="shared" si="25"/>
        <v>541</v>
      </c>
      <c r="F566" s="7"/>
      <c r="G566" s="7"/>
      <c r="H566" s="2"/>
      <c r="I566" s="7">
        <v>278</v>
      </c>
      <c r="J566" s="2"/>
      <c r="K566" s="7">
        <v>263</v>
      </c>
      <c r="L566" s="2"/>
      <c r="M566" s="7"/>
    </row>
    <row r="567" spans="1:13" ht="12.75">
      <c r="A567" s="41" t="s">
        <v>69</v>
      </c>
      <c r="B567" s="46"/>
      <c r="C567" s="7"/>
      <c r="D567" s="7">
        <f t="shared" si="24"/>
        <v>0</v>
      </c>
      <c r="E567" s="7">
        <f t="shared" si="25"/>
        <v>5430</v>
      </c>
      <c r="F567" s="7"/>
      <c r="G567" s="7">
        <v>400</v>
      </c>
      <c r="H567" s="2"/>
      <c r="I567" s="7">
        <v>3360</v>
      </c>
      <c r="J567" s="2"/>
      <c r="K567" s="7">
        <v>1670</v>
      </c>
      <c r="L567" s="2"/>
      <c r="M567" s="7"/>
    </row>
    <row r="568" spans="1:13" ht="12.75">
      <c r="A568" s="41" t="s">
        <v>163</v>
      </c>
      <c r="B568" s="46"/>
      <c r="C568" s="7"/>
      <c r="D568" s="7"/>
      <c r="E568" s="7"/>
      <c r="F568" s="7"/>
      <c r="G568" s="7"/>
      <c r="H568" s="2"/>
      <c r="I568" s="7"/>
      <c r="J568" s="2"/>
      <c r="K568" s="7">
        <v>1075</v>
      </c>
      <c r="L568" s="2"/>
      <c r="M568" s="7"/>
    </row>
    <row r="569" spans="1:13" ht="12.75">
      <c r="A569" s="41" t="s">
        <v>26</v>
      </c>
      <c r="B569" s="46"/>
      <c r="C569" s="7"/>
      <c r="D569" s="7">
        <f t="shared" si="24"/>
        <v>0</v>
      </c>
      <c r="E569" s="7">
        <f t="shared" si="25"/>
        <v>1260</v>
      </c>
      <c r="F569" s="7"/>
      <c r="G569" s="7"/>
      <c r="H569" s="2"/>
      <c r="I569" s="7"/>
      <c r="J569" s="2"/>
      <c r="K569" s="7"/>
      <c r="L569" s="2"/>
      <c r="M569" s="7">
        <v>1260</v>
      </c>
    </row>
    <row r="570" spans="1:13" ht="12.75">
      <c r="A570" s="41" t="s">
        <v>28</v>
      </c>
      <c r="B570" s="46"/>
      <c r="C570" s="7"/>
      <c r="D570" s="7">
        <f t="shared" si="24"/>
        <v>0</v>
      </c>
      <c r="E570" s="7">
        <f t="shared" si="25"/>
        <v>18112</v>
      </c>
      <c r="F570" s="7"/>
      <c r="G570" s="7"/>
      <c r="H570" s="2"/>
      <c r="I570" s="7">
        <v>2017</v>
      </c>
      <c r="J570" s="2"/>
      <c r="K570" s="7"/>
      <c r="L570" s="2"/>
      <c r="M570" s="7">
        <v>16095</v>
      </c>
    </row>
    <row r="571" spans="1:13" ht="12.75">
      <c r="A571" s="41" t="s">
        <v>60</v>
      </c>
      <c r="B571" s="46"/>
      <c r="C571" s="7"/>
      <c r="D571" s="7">
        <f t="shared" si="24"/>
        <v>0</v>
      </c>
      <c r="E571" s="7">
        <f t="shared" si="25"/>
        <v>0</v>
      </c>
      <c r="F571" s="7"/>
      <c r="G571" s="7"/>
      <c r="H571" s="2"/>
      <c r="I571" s="7"/>
      <c r="J571" s="2"/>
      <c r="K571" s="7"/>
      <c r="L571" s="2"/>
      <c r="M571" s="7"/>
    </row>
    <row r="572" spans="1:13" ht="12.75">
      <c r="A572" s="41" t="s">
        <v>301</v>
      </c>
      <c r="B572" s="46"/>
      <c r="C572" s="7"/>
      <c r="D572" s="7">
        <f t="shared" si="24"/>
        <v>0</v>
      </c>
      <c r="E572" s="7">
        <f t="shared" si="25"/>
        <v>64</v>
      </c>
      <c r="F572" s="7"/>
      <c r="G572" s="7"/>
      <c r="H572" s="2"/>
      <c r="I572" s="7"/>
      <c r="J572" s="2"/>
      <c r="K572" s="7">
        <v>64</v>
      </c>
      <c r="L572" s="2"/>
      <c r="M572" s="7"/>
    </row>
    <row r="573" spans="1:13" ht="12.75">
      <c r="A573" s="41" t="s">
        <v>62</v>
      </c>
      <c r="B573" s="46"/>
      <c r="C573" s="7"/>
      <c r="D573" s="7">
        <f t="shared" si="24"/>
        <v>0</v>
      </c>
      <c r="E573" s="7">
        <f t="shared" si="25"/>
        <v>0</v>
      </c>
      <c r="F573" s="7"/>
      <c r="G573" s="7"/>
      <c r="H573" s="2"/>
      <c r="I573" s="7"/>
      <c r="J573" s="2"/>
      <c r="K573" s="7"/>
      <c r="L573" s="2"/>
      <c r="M573" s="7"/>
    </row>
    <row r="574" spans="1:13" ht="12.75">
      <c r="A574" s="41" t="s">
        <v>197</v>
      </c>
      <c r="B574" s="46"/>
      <c r="C574" s="7"/>
      <c r="D574" s="7">
        <f t="shared" si="24"/>
        <v>0</v>
      </c>
      <c r="E574" s="7">
        <f t="shared" si="25"/>
        <v>205</v>
      </c>
      <c r="F574" s="7"/>
      <c r="G574" s="7"/>
      <c r="H574" s="2"/>
      <c r="I574" s="7">
        <v>95</v>
      </c>
      <c r="J574" s="2"/>
      <c r="K574" s="7"/>
      <c r="L574" s="2"/>
      <c r="M574" s="7">
        <v>110</v>
      </c>
    </row>
    <row r="575" spans="1:13" ht="12.75">
      <c r="A575" s="41" t="s">
        <v>220</v>
      </c>
      <c r="B575" s="46"/>
      <c r="C575" s="7"/>
      <c r="D575" s="7">
        <f t="shared" si="24"/>
        <v>0</v>
      </c>
      <c r="E575" s="7">
        <f t="shared" si="25"/>
        <v>1780</v>
      </c>
      <c r="F575" s="7"/>
      <c r="G575" s="7"/>
      <c r="H575" s="2"/>
      <c r="I575" s="7">
        <v>1780</v>
      </c>
      <c r="J575" s="2"/>
      <c r="K575" s="7"/>
      <c r="L575" s="2"/>
      <c r="M575" s="7"/>
    </row>
    <row r="576" spans="1:13" ht="12.75">
      <c r="A576" s="41" t="s">
        <v>51</v>
      </c>
      <c r="B576" s="46"/>
      <c r="C576" s="7"/>
      <c r="D576" s="7">
        <f t="shared" si="24"/>
        <v>0</v>
      </c>
      <c r="E576" s="7">
        <f t="shared" si="25"/>
        <v>2530</v>
      </c>
      <c r="F576" s="7"/>
      <c r="G576" s="7"/>
      <c r="H576" s="2"/>
      <c r="I576" s="7">
        <v>2530</v>
      </c>
      <c r="J576" s="2"/>
      <c r="K576" s="7"/>
      <c r="L576" s="2"/>
      <c r="M576" s="7"/>
    </row>
    <row r="577" spans="1:13" ht="12.75">
      <c r="A577" s="58" t="s">
        <v>52</v>
      </c>
      <c r="B577" s="46"/>
      <c r="C577" s="7"/>
      <c r="D577" s="7">
        <f t="shared" si="24"/>
        <v>0</v>
      </c>
      <c r="E577" s="7">
        <f t="shared" si="25"/>
        <v>0</v>
      </c>
      <c r="F577" s="7"/>
      <c r="G577" s="7"/>
      <c r="H577" s="2"/>
      <c r="I577" s="7"/>
      <c r="J577" s="2"/>
      <c r="K577" s="7"/>
      <c r="L577" s="2"/>
      <c r="M577" s="7"/>
    </row>
    <row r="578" spans="1:13" ht="12.75">
      <c r="A578" s="41" t="s">
        <v>80</v>
      </c>
      <c r="B578" s="46"/>
      <c r="C578" s="7"/>
      <c r="D578" s="7">
        <f t="shared" si="24"/>
        <v>0</v>
      </c>
      <c r="E578" s="7">
        <f t="shared" si="25"/>
        <v>0</v>
      </c>
      <c r="F578" s="7"/>
      <c r="G578" s="7"/>
      <c r="H578" s="2"/>
      <c r="I578" s="7"/>
      <c r="J578" s="2"/>
      <c r="K578" s="7"/>
      <c r="L578" s="2"/>
      <c r="M578" s="7"/>
    </row>
    <row r="579" spans="1:13" ht="12.75">
      <c r="A579" s="41" t="s">
        <v>157</v>
      </c>
      <c r="B579" s="46"/>
      <c r="C579" s="7"/>
      <c r="D579" s="7">
        <f t="shared" si="24"/>
        <v>0</v>
      </c>
      <c r="E579" s="7">
        <f t="shared" si="25"/>
        <v>0</v>
      </c>
      <c r="F579" s="7"/>
      <c r="G579" s="7"/>
      <c r="H579" s="2"/>
      <c r="I579" s="7"/>
      <c r="J579" s="2"/>
      <c r="K579" s="7"/>
      <c r="L579" s="2"/>
      <c r="M579" s="7"/>
    </row>
    <row r="580" spans="1:13" ht="12" customHeight="1">
      <c r="A580" s="41" t="s">
        <v>57</v>
      </c>
      <c r="B580" s="46"/>
      <c r="C580" s="7"/>
      <c r="D580" s="7">
        <f t="shared" si="24"/>
        <v>0</v>
      </c>
      <c r="E580" s="7">
        <f t="shared" si="25"/>
        <v>25.661388000000002</v>
      </c>
      <c r="F580" s="7"/>
      <c r="G580" s="7"/>
      <c r="H580" s="2"/>
      <c r="I580" s="7">
        <f>0.0071*C538</f>
        <v>25.661388000000002</v>
      </c>
      <c r="J580" s="2"/>
      <c r="K580" s="7"/>
      <c r="L580" s="2"/>
      <c r="M580" s="7"/>
    </row>
    <row r="581" spans="1:13" ht="12.75">
      <c r="A581" s="41" t="s">
        <v>33</v>
      </c>
      <c r="B581" s="46"/>
      <c r="C581" s="7"/>
      <c r="D581" s="7">
        <f t="shared" si="24"/>
        <v>0</v>
      </c>
      <c r="E581" s="7">
        <f t="shared" si="25"/>
        <v>3795.77</v>
      </c>
      <c r="F581" s="15"/>
      <c r="G581" s="7"/>
      <c r="H581" s="2"/>
      <c r="I581" s="7"/>
      <c r="J581" s="2"/>
      <c r="K581" s="7">
        <v>1871</v>
      </c>
      <c r="L581" s="2"/>
      <c r="M581" s="7">
        <v>1924.77</v>
      </c>
    </row>
    <row r="582" spans="1:13" ht="12.75">
      <c r="A582" s="41" t="s">
        <v>50</v>
      </c>
      <c r="B582" s="46"/>
      <c r="C582" s="7"/>
      <c r="D582" s="7">
        <f t="shared" si="24"/>
        <v>0</v>
      </c>
      <c r="E582" s="7">
        <f t="shared" si="25"/>
        <v>3961.9846509999998</v>
      </c>
      <c r="F582" s="7"/>
      <c r="G582" s="7">
        <f>0.2455*C538</f>
        <v>887.30574</v>
      </c>
      <c r="H582" s="2"/>
      <c r="I582" s="7">
        <f>0.5802*C538</f>
        <v>2097.0052560000004</v>
      </c>
      <c r="J582" s="2"/>
      <c r="K582" s="7">
        <f>0.1437*K538</f>
        <v>518.994105</v>
      </c>
      <c r="L582" s="2"/>
      <c r="M582" s="7">
        <f>0.127*K538</f>
        <v>458.67955</v>
      </c>
    </row>
    <row r="583" spans="1:13" ht="13.5" thickBot="1">
      <c r="A583" s="48" t="s">
        <v>54</v>
      </c>
      <c r="B583" s="49"/>
      <c r="C583" s="50"/>
      <c r="D583" s="50">
        <f t="shared" si="24"/>
        <v>0</v>
      </c>
      <c r="E583" s="50">
        <f t="shared" si="25"/>
        <v>111.259334</v>
      </c>
      <c r="F583" s="50"/>
      <c r="G583" s="24"/>
      <c r="H583" s="22"/>
      <c r="I583" s="50">
        <f>0.0078*C538</f>
        <v>28.191384</v>
      </c>
      <c r="J583" s="22"/>
      <c r="K583" s="50">
        <f>0.011*K538</f>
        <v>39.72815</v>
      </c>
      <c r="L583" s="22"/>
      <c r="M583" s="50">
        <f>0.012*K538</f>
        <v>43.339800000000004</v>
      </c>
    </row>
    <row r="584" spans="1:13" ht="13.5" thickBot="1">
      <c r="A584" s="25" t="s">
        <v>10</v>
      </c>
      <c r="B584" s="81"/>
      <c r="C584" s="63"/>
      <c r="D584" s="63">
        <f t="shared" si="24"/>
        <v>0</v>
      </c>
      <c r="E584" s="63">
        <f t="shared" si="25"/>
        <v>153789.2508509</v>
      </c>
      <c r="F584" s="63"/>
      <c r="G584" s="86">
        <f>SUM(G563:G583)</f>
        <v>30123.5119788</v>
      </c>
      <c r="H584" s="26"/>
      <c r="I584" s="63">
        <f>SUM(I563:I583)</f>
        <v>44870.5851876</v>
      </c>
      <c r="J584" s="26"/>
      <c r="K584" s="63">
        <f>SUM(K563:K583)</f>
        <v>31903.920665</v>
      </c>
      <c r="L584" s="26"/>
      <c r="M584" s="29">
        <f>SUM(M563:M583)</f>
        <v>46891.2330195</v>
      </c>
    </row>
    <row r="585" spans="1:13" ht="12.75" customHeight="1">
      <c r="A585" s="60" t="s">
        <v>42</v>
      </c>
      <c r="B585" s="55"/>
      <c r="C585" s="66"/>
      <c r="D585" s="56">
        <f t="shared" si="24"/>
        <v>0</v>
      </c>
      <c r="E585" s="56">
        <f t="shared" si="25"/>
        <v>0</v>
      </c>
      <c r="F585" s="66"/>
      <c r="G585" s="66"/>
      <c r="H585" s="74"/>
      <c r="I585" s="56"/>
      <c r="J585" s="74"/>
      <c r="K585" s="56"/>
      <c r="L585" s="74"/>
      <c r="M585" s="56"/>
    </row>
    <row r="586" spans="1:13" ht="12.75">
      <c r="A586" s="41" t="s">
        <v>56</v>
      </c>
      <c r="B586" s="46"/>
      <c r="C586" s="7"/>
      <c r="D586" s="7">
        <f t="shared" si="24"/>
        <v>0</v>
      </c>
      <c r="E586" s="7">
        <f t="shared" si="25"/>
        <v>0</v>
      </c>
      <c r="F586" s="7"/>
      <c r="G586" s="7"/>
      <c r="H586" s="2"/>
      <c r="I586" s="7"/>
      <c r="J586" s="2"/>
      <c r="K586" s="7"/>
      <c r="L586" s="2"/>
      <c r="M586" s="7"/>
    </row>
    <row r="587" spans="1:13" ht="12.75">
      <c r="A587" s="41" t="s">
        <v>157</v>
      </c>
      <c r="B587" s="46"/>
      <c r="C587" s="7"/>
      <c r="D587" s="7"/>
      <c r="E587" s="7">
        <f t="shared" si="25"/>
        <v>2782</v>
      </c>
      <c r="F587" s="7"/>
      <c r="G587" s="7"/>
      <c r="H587" s="2"/>
      <c r="I587" s="7"/>
      <c r="J587" s="2"/>
      <c r="K587" s="7"/>
      <c r="L587" s="2"/>
      <c r="M587" s="7">
        <v>2782</v>
      </c>
    </row>
    <row r="588" spans="1:13" ht="12.75">
      <c r="A588" s="41" t="s">
        <v>375</v>
      </c>
      <c r="B588" s="46"/>
      <c r="C588" s="7"/>
      <c r="D588" s="7"/>
      <c r="E588" s="7">
        <f t="shared" si="25"/>
        <v>267.2</v>
      </c>
      <c r="F588" s="7"/>
      <c r="G588" s="7"/>
      <c r="H588" s="2"/>
      <c r="I588" s="7"/>
      <c r="J588" s="2"/>
      <c r="K588" s="7"/>
      <c r="L588" s="2"/>
      <c r="M588" s="7">
        <v>267.2</v>
      </c>
    </row>
    <row r="589" spans="1:13" ht="12.75">
      <c r="A589" s="41" t="s">
        <v>142</v>
      </c>
      <c r="B589" s="46"/>
      <c r="C589" s="7"/>
      <c r="D589" s="7">
        <f t="shared" si="24"/>
        <v>0</v>
      </c>
      <c r="E589" s="7">
        <f t="shared" si="25"/>
        <v>315</v>
      </c>
      <c r="F589" s="7"/>
      <c r="G589" s="7">
        <v>240</v>
      </c>
      <c r="H589" s="2"/>
      <c r="I589" s="7">
        <v>75</v>
      </c>
      <c r="J589" s="2"/>
      <c r="K589" s="7"/>
      <c r="L589" s="2"/>
      <c r="M589" s="7"/>
    </row>
    <row r="590" spans="1:13" ht="12.75">
      <c r="A590" s="48" t="s">
        <v>16</v>
      </c>
      <c r="B590" s="49"/>
      <c r="C590" s="50"/>
      <c r="D590" s="50">
        <f t="shared" si="24"/>
        <v>0</v>
      </c>
      <c r="E590" s="7">
        <f t="shared" si="25"/>
        <v>588.9593120000001</v>
      </c>
      <c r="F590" s="50"/>
      <c r="G590" s="50">
        <f>0.0089*C538</f>
        <v>32.167092000000004</v>
      </c>
      <c r="H590" s="22"/>
      <c r="I590" s="50">
        <v>460</v>
      </c>
      <c r="J590" s="22"/>
      <c r="K590" s="50"/>
      <c r="L590" s="22"/>
      <c r="M590" s="50">
        <f>0.0268*K538</f>
        <v>96.79222</v>
      </c>
    </row>
    <row r="591" spans="1:13" ht="13.5" thickBot="1">
      <c r="A591" s="124" t="s">
        <v>300</v>
      </c>
      <c r="B591" s="115"/>
      <c r="C591" s="116"/>
      <c r="D591" s="116"/>
      <c r="E591" s="7">
        <f t="shared" si="25"/>
        <v>524</v>
      </c>
      <c r="F591" s="116"/>
      <c r="G591" s="116"/>
      <c r="H591" s="129"/>
      <c r="I591" s="116"/>
      <c r="J591" s="129"/>
      <c r="K591" s="116">
        <v>524</v>
      </c>
      <c r="L591" s="129"/>
      <c r="M591" s="127"/>
    </row>
    <row r="592" spans="1:13" ht="13.5" thickBot="1">
      <c r="A592" s="62" t="s">
        <v>10</v>
      </c>
      <c r="B592" s="81"/>
      <c r="C592" s="63"/>
      <c r="D592" s="63">
        <f t="shared" si="24"/>
        <v>0</v>
      </c>
      <c r="E592" s="63">
        <f t="shared" si="25"/>
        <v>4477.159312</v>
      </c>
      <c r="F592" s="63"/>
      <c r="G592" s="63">
        <f>SUM(G589:G590)</f>
        <v>272.167092</v>
      </c>
      <c r="H592" s="26"/>
      <c r="I592" s="63">
        <f>SUM(I586:I590)</f>
        <v>535</v>
      </c>
      <c r="J592" s="26"/>
      <c r="K592" s="63">
        <f>SUM(K586:K591)</f>
        <v>524</v>
      </c>
      <c r="L592" s="26"/>
      <c r="M592" s="29">
        <f>SUM(M586:M591)</f>
        <v>3145.9922199999996</v>
      </c>
    </row>
    <row r="593" spans="1:13" ht="13.5" thickBot="1">
      <c r="A593" s="64" t="s">
        <v>29</v>
      </c>
      <c r="B593" s="81"/>
      <c r="C593" s="63"/>
      <c r="D593" s="63">
        <f t="shared" si="24"/>
        <v>0</v>
      </c>
      <c r="E593" s="63">
        <f t="shared" si="25"/>
        <v>8283.114396</v>
      </c>
      <c r="F593" s="63"/>
      <c r="G593" s="63">
        <f>0.4236*C538</f>
        <v>1531.009008</v>
      </c>
      <c r="H593" s="26"/>
      <c r="I593" s="63">
        <f>0.5971*C538</f>
        <v>2158.086588</v>
      </c>
      <c r="J593" s="26"/>
      <c r="K593" s="63"/>
      <c r="L593" s="26"/>
      <c r="M593" s="29">
        <f>1.272*K538</f>
        <v>4594.0188</v>
      </c>
    </row>
    <row r="594" spans="1:13" ht="21.75">
      <c r="A594" s="65" t="s">
        <v>83</v>
      </c>
      <c r="B594" s="61"/>
      <c r="C594" s="56"/>
      <c r="D594" s="56">
        <f t="shared" si="24"/>
        <v>0</v>
      </c>
      <c r="E594" s="56">
        <f>E561+E584+E592+E593</f>
        <v>437701.28384189995</v>
      </c>
      <c r="F594" s="56"/>
      <c r="G594" s="56">
        <f>G561+G584+G592+G593</f>
        <v>96892.130866</v>
      </c>
      <c r="H594" s="74"/>
      <c r="I594" s="56">
        <f>I561+I584+I592+I593</f>
        <v>119772.8019124</v>
      </c>
      <c r="J594" s="74"/>
      <c r="K594" s="56">
        <f>K561+K584+K592+K593</f>
        <v>106072.8048685</v>
      </c>
      <c r="L594" s="74"/>
      <c r="M594" s="56">
        <f>M561+M584+M592+M593</f>
        <v>114963.546195</v>
      </c>
    </row>
    <row r="595" spans="1:13" ht="33.75">
      <c r="A595" s="67" t="s">
        <v>84</v>
      </c>
      <c r="B595" s="46"/>
      <c r="C595" s="7"/>
      <c r="D595" s="7"/>
      <c r="E595" s="8">
        <f>E594/12/C538</f>
        <v>10.09194278994018</v>
      </c>
      <c r="F595" s="7"/>
      <c r="G595" s="8">
        <f>G594/3/C538</f>
        <v>8.936047277834959</v>
      </c>
      <c r="H595" s="2"/>
      <c r="I595" s="8">
        <f>I594/3/C538</f>
        <v>11.046257430009112</v>
      </c>
      <c r="J595" s="2"/>
      <c r="K595" s="8">
        <f>K594/3/K538</f>
        <v>9.789874883455854</v>
      </c>
      <c r="L595" s="2"/>
      <c r="M595" s="8">
        <f>M594/3/K538</f>
        <v>10.610436245206484</v>
      </c>
    </row>
    <row r="596" spans="1:13" ht="12.75">
      <c r="A596" s="69" t="s">
        <v>20</v>
      </c>
      <c r="B596" s="44"/>
      <c r="C596" s="45"/>
      <c r="D596" s="45"/>
      <c r="E596" s="7">
        <f>E543-E594</f>
        <v>-57350.69384189998</v>
      </c>
      <c r="F596" s="45"/>
      <c r="G596" s="45">
        <f>G543-G594</f>
        <v>-14678.57086600001</v>
      </c>
      <c r="H596" s="2"/>
      <c r="I596" s="7">
        <f>I543-I594-14679</f>
        <v>-40714.501912399995</v>
      </c>
      <c r="J596" s="2"/>
      <c r="K596" s="7">
        <f>K543-K594-40715</f>
        <v>-41709.7448685</v>
      </c>
      <c r="L596" s="2"/>
      <c r="M596" s="7">
        <f>M543-M594-41710</f>
        <v>-57351.876195000004</v>
      </c>
    </row>
    <row r="597" spans="1:13" ht="12.75">
      <c r="A597" s="14" t="s">
        <v>24</v>
      </c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1:13" ht="12.75">
      <c r="A598" s="14" t="s">
        <v>35</v>
      </c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1:13" ht="12.75">
      <c r="A599" s="14" t="s">
        <v>25</v>
      </c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1:13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1:13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1:13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1:13" ht="21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1:13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1:13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1:13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1:13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1:13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1:13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1:13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1:13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1:13" ht="2.2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1:13" ht="12.75" hidden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1:13" ht="12.75" hidden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1:13" ht="12.75" hidden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1:13" ht="12.75" hidden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1:13" ht="2.25" customHeight="1" hidden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1:13" ht="2.25" customHeight="1" hidden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1:13" ht="12.75" hidden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1:13" ht="12.75" hidden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1:13" ht="12.75" hidden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1:13" ht="12.75">
      <c r="A622" s="31" t="s">
        <v>21</v>
      </c>
      <c r="B622" s="31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1:13" ht="12.75">
      <c r="A623" s="14" t="s">
        <v>31</v>
      </c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1:13" ht="12.75">
      <c r="A624" s="14" t="s">
        <v>41</v>
      </c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1:13" ht="12.75">
      <c r="A625" s="14" t="s">
        <v>107</v>
      </c>
      <c r="B625" s="14"/>
      <c r="C625" s="14"/>
      <c r="D625" s="14"/>
      <c r="E625" s="14" t="s">
        <v>32</v>
      </c>
      <c r="F625" s="14"/>
      <c r="G625" s="14"/>
      <c r="H625" s="14"/>
      <c r="I625" s="14"/>
      <c r="J625" s="14"/>
      <c r="K625" s="14"/>
      <c r="L625" s="14"/>
      <c r="M625" s="14"/>
    </row>
    <row r="626" spans="1:13" ht="21" customHeight="1">
      <c r="A626" s="6" t="s">
        <v>0</v>
      </c>
      <c r="B626" s="151" t="s">
        <v>38</v>
      </c>
      <c r="C626" s="152"/>
      <c r="D626" s="149" t="s">
        <v>39</v>
      </c>
      <c r="E626" s="150"/>
      <c r="F626" s="149" t="s">
        <v>96</v>
      </c>
      <c r="G626" s="150"/>
      <c r="H626" s="149" t="s">
        <v>97</v>
      </c>
      <c r="I626" s="150"/>
      <c r="J626" s="149" t="s">
        <v>98</v>
      </c>
      <c r="K626" s="150"/>
      <c r="L626" s="149" t="s">
        <v>99</v>
      </c>
      <c r="M626" s="150"/>
    </row>
    <row r="627" spans="1:13" ht="12.75">
      <c r="A627" s="11" t="s">
        <v>5</v>
      </c>
      <c r="B627" s="153"/>
      <c r="C627" s="154"/>
      <c r="D627" s="6" t="s">
        <v>40</v>
      </c>
      <c r="E627" s="6" t="s">
        <v>22</v>
      </c>
      <c r="F627" s="6" t="s">
        <v>40</v>
      </c>
      <c r="G627" s="13" t="s">
        <v>22</v>
      </c>
      <c r="H627" s="2"/>
      <c r="I627" s="2"/>
      <c r="J627" s="2"/>
      <c r="K627" s="2"/>
      <c r="L627" s="2"/>
      <c r="M627" s="2"/>
    </row>
    <row r="628" spans="1:13" ht="12.75">
      <c r="A628" s="2" t="s">
        <v>1</v>
      </c>
      <c r="B628" s="2"/>
      <c r="C628" s="6">
        <v>5</v>
      </c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2.75">
      <c r="A629" s="2" t="s">
        <v>2</v>
      </c>
      <c r="B629" s="2"/>
      <c r="C629" s="6">
        <v>6</v>
      </c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2.75">
      <c r="A630" s="2" t="s">
        <v>3</v>
      </c>
      <c r="B630" s="2"/>
      <c r="C630" s="6">
        <v>60</v>
      </c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2.75">
      <c r="A631" s="2" t="s">
        <v>4</v>
      </c>
      <c r="B631" s="6"/>
      <c r="C631" s="6">
        <v>3612.83</v>
      </c>
      <c r="D631" s="6"/>
      <c r="E631" s="6"/>
      <c r="F631" s="6"/>
      <c r="G631" s="2"/>
      <c r="H631" s="2"/>
      <c r="I631" s="2"/>
      <c r="J631" s="2"/>
      <c r="K631" s="2">
        <v>3624.26</v>
      </c>
      <c r="L631" s="2"/>
      <c r="M631" s="2"/>
    </row>
    <row r="632" spans="1:13" ht="21.75">
      <c r="A632" s="35" t="s">
        <v>6</v>
      </c>
      <c r="B632" s="11" t="s">
        <v>40</v>
      </c>
      <c r="C632" s="2" t="s">
        <v>22</v>
      </c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22.5">
      <c r="A633" s="40" t="s">
        <v>7</v>
      </c>
      <c r="B633" s="3"/>
      <c r="C633" s="6"/>
      <c r="D633" s="6">
        <f>F633+H633+J633+L633</f>
        <v>0</v>
      </c>
      <c r="E633" s="6">
        <f>G633+I633+K633+M633</f>
        <v>380343.71</v>
      </c>
      <c r="F633" s="2"/>
      <c r="G633" s="2">
        <v>65740.6</v>
      </c>
      <c r="H633" s="2"/>
      <c r="I633" s="2">
        <v>101948.23</v>
      </c>
      <c r="J633" s="2"/>
      <c r="K633" s="2">
        <v>116086.95</v>
      </c>
      <c r="L633" s="2"/>
      <c r="M633" s="2">
        <v>96567.93</v>
      </c>
    </row>
    <row r="634" spans="1:13" ht="12.75">
      <c r="A634" s="41" t="s">
        <v>8</v>
      </c>
      <c r="B634" s="3"/>
      <c r="C634" s="6"/>
      <c r="D634" s="6"/>
      <c r="E634" s="6"/>
      <c r="F634" s="2"/>
      <c r="G634" s="2"/>
      <c r="H634" s="2"/>
      <c r="I634" s="2"/>
      <c r="J634" s="2"/>
      <c r="K634" s="2"/>
      <c r="L634" s="2"/>
      <c r="M634" s="2"/>
    </row>
    <row r="635" spans="1:13" ht="12.75">
      <c r="A635" s="41" t="s">
        <v>9</v>
      </c>
      <c r="B635" s="3"/>
      <c r="C635" s="6"/>
      <c r="D635" s="6"/>
      <c r="E635" s="6"/>
      <c r="F635" s="2"/>
      <c r="G635" s="2"/>
      <c r="H635" s="2"/>
      <c r="I635" s="2"/>
      <c r="J635" s="2"/>
      <c r="K635" s="2"/>
      <c r="L635" s="2"/>
      <c r="M635" s="2"/>
    </row>
    <row r="636" spans="1:13" ht="12.75">
      <c r="A636" s="2" t="s">
        <v>10</v>
      </c>
      <c r="B636" s="42"/>
      <c r="C636" s="11"/>
      <c r="D636" s="11">
        <f>SUM(D633:D635)</f>
        <v>0</v>
      </c>
      <c r="E636" s="11">
        <f>SUM(E633:E635)</f>
        <v>380343.71</v>
      </c>
      <c r="F636" s="37"/>
      <c r="G636" s="37">
        <f>SUM(G633:G635)</f>
        <v>65740.6</v>
      </c>
      <c r="H636" s="2"/>
      <c r="I636" s="2">
        <f>SUM(I633:I635)</f>
        <v>101948.23</v>
      </c>
      <c r="J636" s="2"/>
      <c r="K636" s="2">
        <f>SUM(K633:K635)</f>
        <v>116086.95</v>
      </c>
      <c r="L636" s="2"/>
      <c r="M636" s="2">
        <f>SUM(M633:M635)</f>
        <v>96567.93</v>
      </c>
    </row>
    <row r="637" spans="1:13" ht="21.75">
      <c r="A637" s="35" t="s">
        <v>82</v>
      </c>
      <c r="B637" s="4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2.75">
      <c r="A638" s="43" t="s">
        <v>11</v>
      </c>
      <c r="B638" s="44"/>
      <c r="C638" s="45"/>
      <c r="D638" s="7">
        <f>F638+H638+J638+L638</f>
        <v>0</v>
      </c>
      <c r="E638" s="7">
        <f>G638+I638+K638+M638</f>
        <v>118022.8854958</v>
      </c>
      <c r="F638" s="45"/>
      <c r="G638" s="7">
        <f>7.99407*C631</f>
        <v>28881.2159181</v>
      </c>
      <c r="H638" s="2"/>
      <c r="I638" s="7">
        <f>9.57707*C631</f>
        <v>34600.3258081</v>
      </c>
      <c r="J638" s="2"/>
      <c r="K638" s="7">
        <f>7.32829*K631</f>
        <v>26559.6283154</v>
      </c>
      <c r="L638" s="2"/>
      <c r="M638" s="7">
        <f>7.72067*K631</f>
        <v>27981.715454200003</v>
      </c>
    </row>
    <row r="639" spans="1:13" ht="12.75">
      <c r="A639" s="43" t="s">
        <v>12</v>
      </c>
      <c r="B639" s="46"/>
      <c r="C639" s="7"/>
      <c r="D639" s="7">
        <f aca="true" t="shared" si="26" ref="D639:D686">F639+H639+J639+L639</f>
        <v>0</v>
      </c>
      <c r="E639" s="7">
        <f aca="true" t="shared" si="27" ref="E639:E685">G639+I639+K639+M639</f>
        <v>0</v>
      </c>
      <c r="F639" s="7"/>
      <c r="G639" s="7"/>
      <c r="H639" s="2"/>
      <c r="I639" s="7"/>
      <c r="J639" s="2"/>
      <c r="K639" s="2"/>
      <c r="L639" s="2"/>
      <c r="M639" s="7"/>
    </row>
    <row r="640" spans="1:13" ht="12.75">
      <c r="A640" s="41" t="s">
        <v>13</v>
      </c>
      <c r="B640" s="46"/>
      <c r="C640" s="7"/>
      <c r="D640" s="7">
        <f t="shared" si="26"/>
        <v>0</v>
      </c>
      <c r="E640" s="7">
        <f t="shared" si="27"/>
        <v>151941.1874442</v>
      </c>
      <c r="F640" s="7"/>
      <c r="G640" s="7">
        <f>G641+G643+G644+G645+G646+G647+G648+G649+G650+G651+G652</f>
        <v>36067.0716211</v>
      </c>
      <c r="H640" s="2"/>
      <c r="I640" s="7">
        <f>I641+I643+I644+I645+I646+I647+I648+I649+I650+I651+I652</f>
        <v>36848.22911570001</v>
      </c>
      <c r="J640" s="2"/>
      <c r="K640" s="7">
        <f>K641+K643+K644+K645+K646+K647+K648+K649+K650+K651+K652</f>
        <v>47819.3885674</v>
      </c>
      <c r="L640" s="2"/>
      <c r="M640" s="7">
        <f>M641+M643+M644+M645+M646+M647+M648+M649+M650+M651+M652</f>
        <v>31206.49814</v>
      </c>
    </row>
    <row r="641" spans="1:13" ht="12.75">
      <c r="A641" s="47" t="s">
        <v>14</v>
      </c>
      <c r="B641" s="46"/>
      <c r="C641" s="71"/>
      <c r="D641" s="7">
        <f t="shared" si="26"/>
        <v>0</v>
      </c>
      <c r="E641" s="7">
        <f t="shared" si="27"/>
        <v>141340</v>
      </c>
      <c r="F641" s="7"/>
      <c r="G641" s="7">
        <v>33665</v>
      </c>
      <c r="H641" s="2"/>
      <c r="I641" s="7">
        <v>32596</v>
      </c>
      <c r="J641" s="2"/>
      <c r="K641" s="7">
        <v>45175</v>
      </c>
      <c r="L641" s="2"/>
      <c r="M641" s="7">
        <v>29904</v>
      </c>
    </row>
    <row r="642" spans="1:13" ht="12.75">
      <c r="A642" s="41" t="s">
        <v>19</v>
      </c>
      <c r="B642" s="46"/>
      <c r="C642" s="71"/>
      <c r="D642" s="7">
        <f t="shared" si="26"/>
        <v>0</v>
      </c>
      <c r="E642" s="7">
        <f t="shared" si="27"/>
        <v>86434.15</v>
      </c>
      <c r="F642" s="7"/>
      <c r="G642" s="7">
        <v>21619.15</v>
      </c>
      <c r="H642" s="2"/>
      <c r="I642" s="7">
        <v>21619</v>
      </c>
      <c r="J642" s="2"/>
      <c r="K642" s="7">
        <v>21598</v>
      </c>
      <c r="L642" s="2"/>
      <c r="M642" s="7">
        <v>21598</v>
      </c>
    </row>
    <row r="643" spans="1:13" ht="12.75">
      <c r="A643" s="41" t="s">
        <v>18</v>
      </c>
      <c r="B643" s="46"/>
      <c r="C643" s="7"/>
      <c r="D643" s="7">
        <f t="shared" si="26"/>
        <v>0</v>
      </c>
      <c r="E643" s="7">
        <f t="shared" si="27"/>
        <v>1347.49</v>
      </c>
      <c r="F643" s="7"/>
      <c r="G643" s="7">
        <v>211.37</v>
      </c>
      <c r="H643" s="2"/>
      <c r="I643" s="7">
        <v>297</v>
      </c>
      <c r="J643" s="2"/>
      <c r="K643" s="7">
        <v>402.82</v>
      </c>
      <c r="L643" s="2"/>
      <c r="M643" s="7">
        <v>436.3</v>
      </c>
    </row>
    <row r="644" spans="1:13" ht="12.75">
      <c r="A644" s="41" t="s">
        <v>53</v>
      </c>
      <c r="B644" s="46"/>
      <c r="C644" s="7"/>
      <c r="D644" s="7">
        <f t="shared" si="26"/>
        <v>0</v>
      </c>
      <c r="E644" s="7">
        <f t="shared" si="27"/>
        <v>6960.923797200001</v>
      </c>
      <c r="F644" s="7"/>
      <c r="G644" s="7">
        <f>0.54857*C631</f>
        <v>1981.8901531</v>
      </c>
      <c r="H644" s="2"/>
      <c r="I644" s="7">
        <f>0.53049*C631</f>
        <v>1916.5701867</v>
      </c>
      <c r="J644" s="2"/>
      <c r="K644" s="7">
        <f>0.60599*K631</f>
        <v>2196.2653174</v>
      </c>
      <c r="L644" s="2"/>
      <c r="M644" s="7">
        <f>0.239*K631</f>
        <v>866.19814</v>
      </c>
    </row>
    <row r="645" spans="1:13" ht="12.75">
      <c r="A645" s="41" t="s">
        <v>148</v>
      </c>
      <c r="B645" s="46"/>
      <c r="C645" s="7"/>
      <c r="D645" s="7">
        <f t="shared" si="26"/>
        <v>0</v>
      </c>
      <c r="E645" s="7">
        <f t="shared" si="27"/>
        <v>498</v>
      </c>
      <c r="F645" s="7"/>
      <c r="G645" s="7">
        <v>138</v>
      </c>
      <c r="H645" s="2"/>
      <c r="I645" s="7">
        <v>360</v>
      </c>
      <c r="J645" s="2"/>
      <c r="K645" s="7"/>
      <c r="L645" s="2"/>
      <c r="M645" s="7"/>
    </row>
    <row r="646" spans="1:13" ht="12.75">
      <c r="A646" s="41" t="s">
        <v>27</v>
      </c>
      <c r="B646" s="46"/>
      <c r="C646" s="7"/>
      <c r="D646" s="7">
        <f t="shared" si="26"/>
        <v>0</v>
      </c>
      <c r="E646" s="7">
        <f t="shared" si="27"/>
        <v>421</v>
      </c>
      <c r="F646" s="7"/>
      <c r="G646" s="7"/>
      <c r="H646" s="2"/>
      <c r="I646" s="7">
        <v>421</v>
      </c>
      <c r="J646" s="2"/>
      <c r="K646" s="7"/>
      <c r="L646" s="2"/>
      <c r="M646" s="7"/>
    </row>
    <row r="647" spans="1:13" ht="12.75">
      <c r="A647" s="41" t="s">
        <v>36</v>
      </c>
      <c r="B647" s="46"/>
      <c r="C647" s="7"/>
      <c r="D647" s="7"/>
      <c r="E647" s="7">
        <f t="shared" si="27"/>
        <v>982</v>
      </c>
      <c r="F647" s="7"/>
      <c r="G647" s="7"/>
      <c r="H647" s="2" t="s">
        <v>215</v>
      </c>
      <c r="I647" s="7">
        <v>982</v>
      </c>
      <c r="J647" s="2"/>
      <c r="K647" s="7"/>
      <c r="L647" s="2"/>
      <c r="M647" s="7"/>
    </row>
    <row r="648" spans="1:13" ht="12.75">
      <c r="A648" s="41" t="s">
        <v>58</v>
      </c>
      <c r="B648" s="46"/>
      <c r="C648" s="7"/>
      <c r="D648" s="7">
        <f t="shared" si="26"/>
        <v>0</v>
      </c>
      <c r="E648" s="7">
        <f t="shared" si="27"/>
        <v>0</v>
      </c>
      <c r="F648" s="7"/>
      <c r="G648" s="7"/>
      <c r="H648" s="2"/>
      <c r="I648" s="7"/>
      <c r="J648" s="2"/>
      <c r="K648" s="7"/>
      <c r="L648" s="2"/>
      <c r="M648" s="7"/>
    </row>
    <row r="649" spans="1:13" ht="12.75">
      <c r="A649" s="41" t="s">
        <v>43</v>
      </c>
      <c r="B649" s="46"/>
      <c r="C649" s="7"/>
      <c r="D649" s="7">
        <f t="shared" si="26"/>
        <v>0</v>
      </c>
      <c r="E649" s="7">
        <f t="shared" si="27"/>
        <v>0</v>
      </c>
      <c r="F649" s="7"/>
      <c r="G649" s="7"/>
      <c r="H649" s="2"/>
      <c r="I649" s="7"/>
      <c r="J649" s="2"/>
      <c r="K649" s="7"/>
      <c r="L649" s="2"/>
      <c r="M649" s="7"/>
    </row>
    <row r="650" spans="1:13" ht="12.75">
      <c r="A650" s="41" t="s">
        <v>30</v>
      </c>
      <c r="B650" s="46"/>
      <c r="C650" s="7"/>
      <c r="D650" s="7">
        <f t="shared" si="26"/>
        <v>0</v>
      </c>
      <c r="E650" s="7">
        <f t="shared" si="27"/>
        <v>0</v>
      </c>
      <c r="F650" s="7"/>
      <c r="G650" s="7"/>
      <c r="H650" s="2"/>
      <c r="I650" s="7"/>
      <c r="J650" s="2"/>
      <c r="K650" s="7"/>
      <c r="L650" s="2"/>
      <c r="M650" s="7"/>
    </row>
    <row r="651" spans="1:13" ht="12.75">
      <c r="A651" s="41" t="s">
        <v>54</v>
      </c>
      <c r="B651" s="46"/>
      <c r="C651" s="7"/>
      <c r="D651" s="7">
        <f t="shared" si="26"/>
        <v>0</v>
      </c>
      <c r="E651" s="7">
        <f t="shared" si="27"/>
        <v>98.99154199999998</v>
      </c>
      <c r="F651" s="7"/>
      <c r="G651" s="7">
        <f>0.0196*C631</f>
        <v>70.81146799999999</v>
      </c>
      <c r="H651" s="2"/>
      <c r="I651" s="7">
        <f>0.0078*C631</f>
        <v>28.180073999999998</v>
      </c>
      <c r="J651" s="2"/>
      <c r="K651" s="7"/>
      <c r="L651" s="2"/>
      <c r="M651" s="7"/>
    </row>
    <row r="652" spans="1:13" ht="13.5" thickBot="1">
      <c r="A652" s="48" t="s">
        <v>55</v>
      </c>
      <c r="B652" s="49"/>
      <c r="C652" s="50"/>
      <c r="D652" s="50">
        <f t="shared" si="26"/>
        <v>0</v>
      </c>
      <c r="E652" s="50"/>
      <c r="F652" s="50"/>
      <c r="G652" s="50"/>
      <c r="H652" s="22"/>
      <c r="I652" s="50">
        <f>0.0685*C631</f>
        <v>247.478855</v>
      </c>
      <c r="J652" s="22"/>
      <c r="K652" s="50">
        <f>0.0125*K631</f>
        <v>45.303250000000006</v>
      </c>
      <c r="L652" s="22"/>
      <c r="M652" s="50"/>
    </row>
    <row r="653" spans="1:13" ht="13.5" thickBot="1">
      <c r="A653" s="51" t="s">
        <v>76</v>
      </c>
      <c r="B653" s="81"/>
      <c r="C653" s="63"/>
      <c r="D653" s="63">
        <f t="shared" si="26"/>
        <v>0</v>
      </c>
      <c r="E653" s="63">
        <f>E638+E640</f>
        <v>269964.07294</v>
      </c>
      <c r="F653" s="63"/>
      <c r="G653" s="63">
        <f>G638+G640</f>
        <v>64948.2875392</v>
      </c>
      <c r="H653" s="26"/>
      <c r="I653" s="63">
        <f>I638+I640</f>
        <v>71448.55492380001</v>
      </c>
      <c r="J653" s="26"/>
      <c r="K653" s="63">
        <f>K638+K640</f>
        <v>74379.0168828</v>
      </c>
      <c r="L653" s="26"/>
      <c r="M653" s="29">
        <f>M638+M640</f>
        <v>59188.2135942</v>
      </c>
    </row>
    <row r="654" spans="1:13" ht="13.5" customHeight="1">
      <c r="A654" s="54" t="s">
        <v>15</v>
      </c>
      <c r="B654" s="55"/>
      <c r="C654" s="66"/>
      <c r="D654" s="56">
        <f t="shared" si="26"/>
        <v>0</v>
      </c>
      <c r="E654" s="56">
        <f t="shared" si="27"/>
        <v>0</v>
      </c>
      <c r="F654" s="66"/>
      <c r="G654" s="56"/>
      <c r="H654" s="74"/>
      <c r="I654" s="56"/>
      <c r="J654" s="74"/>
      <c r="K654" s="56"/>
      <c r="L654" s="74"/>
      <c r="M654" s="56"/>
    </row>
    <row r="655" spans="1:13" ht="12.75">
      <c r="A655" s="41" t="s">
        <v>17</v>
      </c>
      <c r="B655" s="46"/>
      <c r="C655" s="7"/>
      <c r="D655" s="7">
        <f t="shared" si="26"/>
        <v>0</v>
      </c>
      <c r="E655" s="7">
        <f t="shared" si="27"/>
        <v>102306.0799822</v>
      </c>
      <c r="F655" s="7"/>
      <c r="G655" s="7">
        <f>6.73321*C631</f>
        <v>24325.943084299997</v>
      </c>
      <c r="H655" s="2"/>
      <c r="I655" s="7">
        <f>7.02207*C631</f>
        <v>25369.5451581</v>
      </c>
      <c r="J655" s="2"/>
      <c r="K655" s="7">
        <f>7.2754*K631</f>
        <v>26367.941204000002</v>
      </c>
      <c r="L655" s="2"/>
      <c r="M655" s="7">
        <f>7.24083*K631</f>
        <v>26242.6505358</v>
      </c>
    </row>
    <row r="656" spans="1:13" ht="12.75">
      <c r="A656" s="41" t="s">
        <v>221</v>
      </c>
      <c r="B656" s="46"/>
      <c r="C656" s="71"/>
      <c r="D656" s="7">
        <f t="shared" si="26"/>
        <v>0</v>
      </c>
      <c r="E656" s="7">
        <f t="shared" si="27"/>
        <v>23503.1</v>
      </c>
      <c r="F656" s="7"/>
      <c r="G656" s="7"/>
      <c r="H656" s="2"/>
      <c r="I656" s="7">
        <v>20750</v>
      </c>
      <c r="J656" s="2"/>
      <c r="K656" s="7">
        <v>2753.1</v>
      </c>
      <c r="L656" s="2"/>
      <c r="M656" s="7"/>
    </row>
    <row r="657" spans="1:13" ht="12.75">
      <c r="A657" s="41" t="s">
        <v>67</v>
      </c>
      <c r="B657" s="46"/>
      <c r="C657" s="7"/>
      <c r="D657" s="7">
        <f t="shared" si="26"/>
        <v>0</v>
      </c>
      <c r="E657" s="7">
        <f t="shared" si="27"/>
        <v>12280.1</v>
      </c>
      <c r="F657" s="7"/>
      <c r="G657" s="7">
        <v>4102</v>
      </c>
      <c r="H657" s="2"/>
      <c r="I657" s="7">
        <v>4289</v>
      </c>
      <c r="J657" s="2"/>
      <c r="K657" s="7">
        <v>2096</v>
      </c>
      <c r="L657" s="2"/>
      <c r="M657" s="7">
        <v>1793.1</v>
      </c>
    </row>
    <row r="658" spans="1:13" ht="12.75">
      <c r="A658" s="41" t="s">
        <v>68</v>
      </c>
      <c r="B658" s="46"/>
      <c r="C658" s="7"/>
      <c r="D658" s="7">
        <f t="shared" si="26"/>
        <v>0</v>
      </c>
      <c r="E658" s="7">
        <f t="shared" si="27"/>
        <v>0</v>
      </c>
      <c r="F658" s="7"/>
      <c r="G658" s="7"/>
      <c r="H658" s="2"/>
      <c r="I658" s="7"/>
      <c r="J658" s="2"/>
      <c r="K658" s="7"/>
      <c r="L658" s="2"/>
      <c r="M658" s="7"/>
    </row>
    <row r="659" spans="1:13" ht="12.75">
      <c r="A659" s="41" t="s">
        <v>69</v>
      </c>
      <c r="B659" s="46"/>
      <c r="C659" s="7"/>
      <c r="D659" s="7">
        <f t="shared" si="26"/>
        <v>0</v>
      </c>
      <c r="E659" s="7">
        <f t="shared" si="27"/>
        <v>5859.5</v>
      </c>
      <c r="F659" s="7"/>
      <c r="G659" s="7">
        <v>3810</v>
      </c>
      <c r="H659" s="2"/>
      <c r="I659" s="7"/>
      <c r="J659" s="2"/>
      <c r="K659" s="7">
        <v>2049.5</v>
      </c>
      <c r="L659" s="2"/>
      <c r="M659" s="7"/>
    </row>
    <row r="660" spans="1:13" ht="12.75">
      <c r="A660" s="41" t="s">
        <v>26</v>
      </c>
      <c r="B660" s="46"/>
      <c r="C660" s="7"/>
      <c r="D660" s="7">
        <f t="shared" si="26"/>
        <v>0</v>
      </c>
      <c r="E660" s="7">
        <f t="shared" si="27"/>
        <v>0</v>
      </c>
      <c r="F660" s="7"/>
      <c r="G660" s="7"/>
      <c r="H660" s="2"/>
      <c r="I660" s="7"/>
      <c r="J660" s="2"/>
      <c r="K660" s="7"/>
      <c r="L660" s="2"/>
      <c r="M660" s="7"/>
    </row>
    <row r="661" spans="1:13" ht="12.75">
      <c r="A661" s="41" t="s">
        <v>28</v>
      </c>
      <c r="B661" s="46"/>
      <c r="C661" s="7"/>
      <c r="D661" s="7">
        <f t="shared" si="26"/>
        <v>0</v>
      </c>
      <c r="E661" s="7">
        <f t="shared" si="27"/>
        <v>0</v>
      </c>
      <c r="F661" s="7"/>
      <c r="G661" s="7"/>
      <c r="H661" s="2"/>
      <c r="I661" s="7"/>
      <c r="J661" s="2"/>
      <c r="K661" s="7"/>
      <c r="L661" s="2"/>
      <c r="M661" s="7"/>
    </row>
    <row r="662" spans="1:13" ht="12.75">
      <c r="A662" s="41" t="s">
        <v>60</v>
      </c>
      <c r="B662" s="46"/>
      <c r="C662" s="7"/>
      <c r="D662" s="7">
        <f t="shared" si="26"/>
        <v>0</v>
      </c>
      <c r="E662" s="7">
        <f t="shared" si="27"/>
        <v>0</v>
      </c>
      <c r="F662" s="7"/>
      <c r="G662" s="7"/>
      <c r="H662" s="2"/>
      <c r="I662" s="7"/>
      <c r="J662" s="2"/>
      <c r="K662" s="7"/>
      <c r="L662" s="2"/>
      <c r="M662" s="7"/>
    </row>
    <row r="663" spans="1:13" ht="12.75">
      <c r="A663" s="41" t="s">
        <v>222</v>
      </c>
      <c r="B663" s="46"/>
      <c r="C663" s="7"/>
      <c r="D663" s="7">
        <f t="shared" si="26"/>
        <v>0</v>
      </c>
      <c r="E663" s="7">
        <f t="shared" si="27"/>
        <v>3908</v>
      </c>
      <c r="F663" s="7"/>
      <c r="G663" s="7"/>
      <c r="H663" s="2"/>
      <c r="I663" s="7">
        <v>30</v>
      </c>
      <c r="J663" s="2"/>
      <c r="K663" s="7">
        <v>3878</v>
      </c>
      <c r="L663" s="2"/>
      <c r="M663" s="7"/>
    </row>
    <row r="664" spans="1:13" ht="12.75">
      <c r="A664" s="41" t="s">
        <v>62</v>
      </c>
      <c r="B664" s="46"/>
      <c r="C664" s="7"/>
      <c r="D664" s="7">
        <f t="shared" si="26"/>
        <v>0</v>
      </c>
      <c r="E664" s="7">
        <f t="shared" si="27"/>
        <v>0</v>
      </c>
      <c r="F664" s="7"/>
      <c r="G664" s="7"/>
      <c r="H664" s="2"/>
      <c r="I664" s="7"/>
      <c r="J664" s="2"/>
      <c r="K664" s="7"/>
      <c r="L664" s="2"/>
      <c r="M664" s="7"/>
    </row>
    <row r="665" spans="1:13" ht="12.75">
      <c r="A665" s="41" t="s">
        <v>63</v>
      </c>
      <c r="B665" s="46"/>
      <c r="C665" s="7"/>
      <c r="D665" s="7">
        <f t="shared" si="26"/>
        <v>0</v>
      </c>
      <c r="E665" s="7">
        <f t="shared" si="27"/>
        <v>0</v>
      </c>
      <c r="F665" s="7"/>
      <c r="G665" s="7"/>
      <c r="H665" s="2"/>
      <c r="I665" s="7"/>
      <c r="J665" s="2"/>
      <c r="K665" s="7"/>
      <c r="L665" s="2"/>
      <c r="M665" s="7"/>
    </row>
    <row r="666" spans="1:13" ht="12.75">
      <c r="A666" s="41" t="s">
        <v>223</v>
      </c>
      <c r="B666" s="46"/>
      <c r="C666" s="7"/>
      <c r="D666" s="7">
        <f t="shared" si="26"/>
        <v>0</v>
      </c>
      <c r="E666" s="7">
        <f t="shared" si="27"/>
        <v>1410</v>
      </c>
      <c r="F666" s="7"/>
      <c r="G666" s="7"/>
      <c r="H666" s="2"/>
      <c r="I666" s="7">
        <v>1410</v>
      </c>
      <c r="J666" s="2"/>
      <c r="K666" s="7"/>
      <c r="L666" s="2"/>
      <c r="M666" s="7"/>
    </row>
    <row r="667" spans="1:13" ht="12.75">
      <c r="A667" s="41" t="s">
        <v>51</v>
      </c>
      <c r="B667" s="46"/>
      <c r="C667" s="7"/>
      <c r="D667" s="7">
        <f t="shared" si="26"/>
        <v>0</v>
      </c>
      <c r="E667" s="7">
        <f t="shared" si="27"/>
        <v>2785.53</v>
      </c>
      <c r="F667" s="7"/>
      <c r="G667" s="7"/>
      <c r="H667" s="2"/>
      <c r="I667" s="7">
        <v>2785.53</v>
      </c>
      <c r="J667" s="2"/>
      <c r="K667" s="7"/>
      <c r="L667" s="2"/>
      <c r="M667" s="7"/>
    </row>
    <row r="668" spans="1:13" ht="12.75">
      <c r="A668" s="58" t="s">
        <v>52</v>
      </c>
      <c r="B668" s="46"/>
      <c r="C668" s="7"/>
      <c r="D668" s="7">
        <f t="shared" si="26"/>
        <v>0</v>
      </c>
      <c r="E668" s="7">
        <f t="shared" si="27"/>
        <v>0</v>
      </c>
      <c r="F668" s="7"/>
      <c r="G668" s="7"/>
      <c r="H668" s="2"/>
      <c r="I668" s="7"/>
      <c r="J668" s="2"/>
      <c r="K668" s="7"/>
      <c r="L668" s="2"/>
      <c r="M668" s="7"/>
    </row>
    <row r="669" spans="1:13" ht="12.75">
      <c r="A669" s="41" t="s">
        <v>80</v>
      </c>
      <c r="B669" s="46"/>
      <c r="C669" s="7"/>
      <c r="D669" s="7">
        <f t="shared" si="26"/>
        <v>0</v>
      </c>
      <c r="E669" s="7">
        <f t="shared" si="27"/>
        <v>0</v>
      </c>
      <c r="F669" s="7"/>
      <c r="G669" s="7"/>
      <c r="H669" s="2"/>
      <c r="I669" s="7"/>
      <c r="J669" s="2"/>
      <c r="K669" s="7"/>
      <c r="L669" s="2"/>
      <c r="M669" s="7"/>
    </row>
    <row r="670" spans="1:13" ht="12.75">
      <c r="A670" s="41" t="s">
        <v>303</v>
      </c>
      <c r="B670" s="46"/>
      <c r="C670" s="7"/>
      <c r="D670" s="7">
        <f t="shared" si="26"/>
        <v>0</v>
      </c>
      <c r="E670" s="7">
        <f t="shared" si="27"/>
        <v>2578</v>
      </c>
      <c r="F670" s="7"/>
      <c r="G670" s="7"/>
      <c r="H670" s="2"/>
      <c r="I670" s="7"/>
      <c r="J670" s="2"/>
      <c r="K670" s="7">
        <v>2578</v>
      </c>
      <c r="L670" s="2"/>
      <c r="M670" s="7"/>
    </row>
    <row r="671" spans="1:13" ht="12.75">
      <c r="A671" s="41" t="s">
        <v>57</v>
      </c>
      <c r="B671" s="46"/>
      <c r="C671" s="7"/>
      <c r="D671" s="7">
        <f t="shared" si="26"/>
        <v>0</v>
      </c>
      <c r="E671" s="7">
        <f t="shared" si="27"/>
        <v>25.651093</v>
      </c>
      <c r="F671" s="7"/>
      <c r="G671" s="7"/>
      <c r="H671" s="2"/>
      <c r="I671" s="7">
        <f>0.0071*C631</f>
        <v>25.651093</v>
      </c>
      <c r="J671" s="2"/>
      <c r="K671" s="7"/>
      <c r="L671" s="2"/>
      <c r="M671" s="7"/>
    </row>
    <row r="672" spans="1:13" ht="12.75">
      <c r="A672" s="41" t="s">
        <v>33</v>
      </c>
      <c r="B672" s="46"/>
      <c r="C672" s="7"/>
      <c r="D672" s="7">
        <f t="shared" si="26"/>
        <v>0</v>
      </c>
      <c r="E672" s="7">
        <f t="shared" si="27"/>
        <v>3795.77</v>
      </c>
      <c r="F672" s="15"/>
      <c r="G672" s="7"/>
      <c r="H672" s="2"/>
      <c r="I672" s="7"/>
      <c r="J672" s="2"/>
      <c r="K672" s="7">
        <v>1871</v>
      </c>
      <c r="L672" s="2"/>
      <c r="M672" s="7">
        <v>1924.77</v>
      </c>
    </row>
    <row r="673" spans="1:13" ht="12.75">
      <c r="A673" s="41" t="s">
        <v>50</v>
      </c>
      <c r="B673" s="46"/>
      <c r="C673" s="7"/>
      <c r="D673" s="7">
        <f t="shared" si="26"/>
        <v>0</v>
      </c>
      <c r="E673" s="7">
        <f t="shared" si="27"/>
        <v>3964.2009129999997</v>
      </c>
      <c r="F673" s="7"/>
      <c r="G673" s="7">
        <f>0.2455*C631</f>
        <v>886.949765</v>
      </c>
      <c r="H673" s="2"/>
      <c r="I673" s="7">
        <f>0.5802*C631</f>
        <v>2096.163966</v>
      </c>
      <c r="J673" s="2"/>
      <c r="K673" s="7">
        <f>0.1437*K631</f>
        <v>520.806162</v>
      </c>
      <c r="L673" s="2"/>
      <c r="M673" s="7">
        <f>0.127*K631</f>
        <v>460.28102</v>
      </c>
    </row>
    <row r="674" spans="1:13" ht="12.75">
      <c r="A674" s="41" t="s">
        <v>54</v>
      </c>
      <c r="B674" s="46"/>
      <c r="C674" s="7"/>
      <c r="D674" s="7">
        <f t="shared" si="26"/>
        <v>0</v>
      </c>
      <c r="E674" s="7">
        <f t="shared" si="27"/>
        <v>83.35798</v>
      </c>
      <c r="F674" s="7"/>
      <c r="G674" s="7"/>
      <c r="H674" s="2"/>
      <c r="I674" s="7"/>
      <c r="J674" s="2"/>
      <c r="K674" s="7">
        <f>0.011*K631</f>
        <v>39.86686</v>
      </c>
      <c r="L674" s="2"/>
      <c r="M674" s="7">
        <f>0.012*K631</f>
        <v>43.49112</v>
      </c>
    </row>
    <row r="675" spans="1:13" ht="12.75">
      <c r="A675" s="41" t="s">
        <v>143</v>
      </c>
      <c r="B675" s="46"/>
      <c r="C675" s="7"/>
      <c r="D675" s="7">
        <f t="shared" si="26"/>
        <v>0</v>
      </c>
      <c r="E675" s="7">
        <f t="shared" si="27"/>
        <v>23780</v>
      </c>
      <c r="F675" s="7"/>
      <c r="G675" s="7">
        <v>23780</v>
      </c>
      <c r="H675" s="2"/>
      <c r="I675" s="7"/>
      <c r="J675" s="2"/>
      <c r="K675" s="7"/>
      <c r="L675" s="2"/>
      <c r="M675" s="7"/>
    </row>
    <row r="676" spans="1:13" ht="13.5" thickBot="1">
      <c r="A676" s="48" t="s">
        <v>144</v>
      </c>
      <c r="B676" s="49"/>
      <c r="C676" s="50"/>
      <c r="D676" s="50">
        <f t="shared" si="26"/>
        <v>0</v>
      </c>
      <c r="E676" s="50">
        <f t="shared" si="27"/>
        <v>35706</v>
      </c>
      <c r="F676" s="50"/>
      <c r="G676" s="50">
        <v>35706</v>
      </c>
      <c r="H676" s="22"/>
      <c r="I676" s="50"/>
      <c r="J676" s="22"/>
      <c r="K676" s="50"/>
      <c r="L676" s="22"/>
      <c r="M676" s="50"/>
    </row>
    <row r="677" spans="1:13" ht="13.5" thickBot="1">
      <c r="A677" s="59" t="s">
        <v>10</v>
      </c>
      <c r="B677" s="81"/>
      <c r="C677" s="63"/>
      <c r="D677" s="63">
        <f t="shared" si="26"/>
        <v>0</v>
      </c>
      <c r="E677" s="63">
        <f t="shared" si="27"/>
        <v>221985.28996820003</v>
      </c>
      <c r="F677" s="63"/>
      <c r="G677" s="63">
        <f>SUM(G655:G676)</f>
        <v>92610.8928493</v>
      </c>
      <c r="H677" s="26"/>
      <c r="I677" s="63">
        <f>SUM(I655:I676)</f>
        <v>56755.8902171</v>
      </c>
      <c r="J677" s="26"/>
      <c r="K677" s="63">
        <f>SUM(K655:K676)</f>
        <v>42154.214226000004</v>
      </c>
      <c r="L677" s="26"/>
      <c r="M677" s="29">
        <f>SUM(M655:M676)</f>
        <v>30464.292675799996</v>
      </c>
    </row>
    <row r="678" spans="1:13" ht="12.75">
      <c r="A678" s="60" t="s">
        <v>42</v>
      </c>
      <c r="B678" s="55"/>
      <c r="C678" s="66"/>
      <c r="D678" s="56">
        <f t="shared" si="26"/>
        <v>0</v>
      </c>
      <c r="E678" s="56">
        <f t="shared" si="27"/>
        <v>0</v>
      </c>
      <c r="F678" s="66"/>
      <c r="G678" s="56"/>
      <c r="H678" s="74"/>
      <c r="I678" s="56"/>
      <c r="J678" s="74"/>
      <c r="K678" s="56"/>
      <c r="L678" s="74"/>
      <c r="M678" s="56"/>
    </row>
    <row r="679" spans="1:13" ht="12.75">
      <c r="A679" s="41" t="s">
        <v>375</v>
      </c>
      <c r="B679" s="55"/>
      <c r="C679" s="66"/>
      <c r="D679" s="56"/>
      <c r="E679" s="56"/>
      <c r="F679" s="66"/>
      <c r="G679" s="56"/>
      <c r="H679" s="74"/>
      <c r="I679" s="56"/>
      <c r="J679" s="74"/>
      <c r="K679" s="56"/>
      <c r="L679" s="74"/>
      <c r="M679" s="56"/>
    </row>
    <row r="680" spans="1:13" ht="12.75">
      <c r="A680" s="41" t="s">
        <v>56</v>
      </c>
      <c r="B680" s="46"/>
      <c r="C680" s="7"/>
      <c r="D680" s="7">
        <f t="shared" si="26"/>
        <v>0</v>
      </c>
      <c r="E680" s="7">
        <f t="shared" si="27"/>
        <v>267.2</v>
      </c>
      <c r="F680" s="7"/>
      <c r="G680" s="7"/>
      <c r="H680" s="2"/>
      <c r="I680" s="7"/>
      <c r="J680" s="2"/>
      <c r="K680" s="7"/>
      <c r="L680" s="2"/>
      <c r="M680" s="7">
        <v>267.2</v>
      </c>
    </row>
    <row r="681" spans="1:13" ht="12.75">
      <c r="A681" s="48" t="s">
        <v>16</v>
      </c>
      <c r="B681" s="49"/>
      <c r="C681" s="50"/>
      <c r="D681" s="50">
        <f t="shared" si="26"/>
        <v>0</v>
      </c>
      <c r="E681" s="7">
        <f t="shared" si="27"/>
        <v>129.284355</v>
      </c>
      <c r="F681" s="50"/>
      <c r="G681" s="50">
        <f>0.0089*C631</f>
        <v>32.154187</v>
      </c>
      <c r="H681" s="22"/>
      <c r="I681" s="50"/>
      <c r="J681" s="22"/>
      <c r="K681" s="50"/>
      <c r="L681" s="22"/>
      <c r="M681" s="50">
        <f>0.0268*K631</f>
        <v>97.13016800000001</v>
      </c>
    </row>
    <row r="682" spans="1:13" ht="12.75">
      <c r="A682" s="48" t="s">
        <v>89</v>
      </c>
      <c r="B682" s="115"/>
      <c r="C682" s="116"/>
      <c r="D682" s="116"/>
      <c r="E682" s="7">
        <f t="shared" si="27"/>
        <v>500</v>
      </c>
      <c r="F682" s="116"/>
      <c r="G682" s="116"/>
      <c r="H682" s="129"/>
      <c r="I682" s="116"/>
      <c r="J682" s="129"/>
      <c r="K682" s="116"/>
      <c r="L682" s="129"/>
      <c r="M682" s="127">
        <v>500</v>
      </c>
    </row>
    <row r="683" spans="1:13" ht="13.5" thickBot="1">
      <c r="A683" s="130" t="s">
        <v>302</v>
      </c>
      <c r="B683" s="115"/>
      <c r="C683" s="116"/>
      <c r="D683" s="116"/>
      <c r="E683" s="7">
        <f t="shared" si="27"/>
        <v>113</v>
      </c>
      <c r="F683" s="116"/>
      <c r="G683" s="116"/>
      <c r="H683" s="129"/>
      <c r="I683" s="116"/>
      <c r="J683" s="129"/>
      <c r="K683" s="116">
        <v>113</v>
      </c>
      <c r="L683" s="129"/>
      <c r="M683" s="127"/>
    </row>
    <row r="684" spans="1:13" ht="13.5" thickBot="1">
      <c r="A684" s="62" t="s">
        <v>10</v>
      </c>
      <c r="B684" s="81"/>
      <c r="C684" s="63"/>
      <c r="D684" s="63">
        <f t="shared" si="26"/>
        <v>0</v>
      </c>
      <c r="E684" s="63">
        <f t="shared" si="27"/>
        <v>1009.4843549999999</v>
      </c>
      <c r="F684" s="63"/>
      <c r="G684" s="63">
        <f>SUM(G680:G681)</f>
        <v>32.154187</v>
      </c>
      <c r="H684" s="26"/>
      <c r="I684" s="63"/>
      <c r="J684" s="26"/>
      <c r="K684" s="63">
        <f>SUM(K680:K683)</f>
        <v>113</v>
      </c>
      <c r="L684" s="26"/>
      <c r="M684" s="29">
        <f>SUM(M679:M683)</f>
        <v>864.330168</v>
      </c>
    </row>
    <row r="685" spans="1:13" ht="13.5" thickBot="1">
      <c r="A685" s="64" t="s">
        <v>29</v>
      </c>
      <c r="B685" s="81"/>
      <c r="C685" s="63"/>
      <c r="D685" s="63">
        <f t="shared" si="26"/>
        <v>0</v>
      </c>
      <c r="E685" s="63">
        <f t="shared" si="27"/>
        <v>8297.674301</v>
      </c>
      <c r="F685" s="63"/>
      <c r="G685" s="63">
        <f>0.4236*C631</f>
        <v>1530.3947879999998</v>
      </c>
      <c r="H685" s="26"/>
      <c r="I685" s="63">
        <f>0.5971*C631</f>
        <v>2157.220793</v>
      </c>
      <c r="J685" s="26"/>
      <c r="K685" s="63"/>
      <c r="L685" s="26"/>
      <c r="M685" s="29">
        <f>1.272*K631</f>
        <v>4610.05872</v>
      </c>
    </row>
    <row r="686" spans="1:13" ht="21.75">
      <c r="A686" s="65" t="s">
        <v>83</v>
      </c>
      <c r="B686" s="61"/>
      <c r="C686" s="56"/>
      <c r="D686" s="56">
        <f t="shared" si="26"/>
        <v>0</v>
      </c>
      <c r="E686" s="56">
        <f>E653+E677+E684+E685</f>
        <v>501256.52156420005</v>
      </c>
      <c r="F686" s="56"/>
      <c r="G686" s="56">
        <f>G652+G677+G684+G685</f>
        <v>94173.4418243</v>
      </c>
      <c r="H686" s="74"/>
      <c r="I686" s="56">
        <f>I653+I677+I684+I685</f>
        <v>130361.6659339</v>
      </c>
      <c r="J686" s="74"/>
      <c r="K686" s="56">
        <f>K653+K677+K684+K685</f>
        <v>116646.23110880001</v>
      </c>
      <c r="L686" s="74"/>
      <c r="M686" s="56">
        <f>M653+M677+M684+M685</f>
        <v>95126.895158</v>
      </c>
    </row>
    <row r="687" spans="1:13" ht="33.75">
      <c r="A687" s="67" t="s">
        <v>84</v>
      </c>
      <c r="B687" s="46"/>
      <c r="C687" s="7"/>
      <c r="D687" s="7"/>
      <c r="E687" s="8">
        <f>E686/12/C631</f>
        <v>11.561954699506114</v>
      </c>
      <c r="F687" s="7"/>
      <c r="G687" s="8">
        <f>G686/3/C631</f>
        <v>8.688797223995225</v>
      </c>
      <c r="H687" s="2"/>
      <c r="I687" s="8">
        <f>I686/3/C631</f>
        <v>12.027659381878841</v>
      </c>
      <c r="J687" s="2"/>
      <c r="K687" s="8">
        <f>K686/3/K631</f>
        <v>10.728280265838176</v>
      </c>
      <c r="L687" s="2"/>
      <c r="M687" s="8">
        <f>M686/3/K631</f>
        <v>8.749086724646318</v>
      </c>
    </row>
    <row r="688" spans="1:13" ht="12.75">
      <c r="A688" s="69" t="s">
        <v>20</v>
      </c>
      <c r="B688" s="44"/>
      <c r="C688" s="45"/>
      <c r="D688" s="45"/>
      <c r="E688" s="45">
        <f>E636-E686</f>
        <v>-120912.81156420003</v>
      </c>
      <c r="F688" s="45"/>
      <c r="G688" s="7">
        <f>G636-G686</f>
        <v>-28432.84182429999</v>
      </c>
      <c r="H688" s="2"/>
      <c r="I688" s="7">
        <f>I636-I686-28433</f>
        <v>-56846.43593390001</v>
      </c>
      <c r="J688" s="2"/>
      <c r="K688" s="7">
        <f>K636-K686-56846</f>
        <v>-57405.281108800016</v>
      </c>
      <c r="L688" s="2"/>
      <c r="M688" s="7">
        <f>M636-M686-57405</f>
        <v>-55963.965158000006</v>
      </c>
    </row>
    <row r="689" spans="1:13" ht="12.75">
      <c r="A689" s="14" t="s">
        <v>24</v>
      </c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1:13" ht="12.75">
      <c r="A690" s="14" t="s">
        <v>35</v>
      </c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1:13" ht="12.75">
      <c r="A691" s="14" t="s">
        <v>25</v>
      </c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1:13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1:13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1:13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1:13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1:13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1:13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1:13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1:13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1:13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1:13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1:13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1:13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1:13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1:13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1:13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1:13" ht="2.2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1:13" ht="12.75" hidden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1:13" ht="12.75" hidden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1:13" ht="12.75" hidden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1:13" ht="12.75" hidden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1:13" ht="12.75" hidden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1:13" ht="12.75" hidden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1:13" ht="12.75" hidden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1:13" ht="12.75">
      <c r="A715" s="31" t="s">
        <v>21</v>
      </c>
      <c r="B715" s="31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1:13" ht="12.75">
      <c r="A716" s="14" t="s">
        <v>31</v>
      </c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1:13" ht="12.75">
      <c r="A717" s="14" t="s">
        <v>41</v>
      </c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1:13" ht="12.75">
      <c r="A718" s="14" t="s">
        <v>108</v>
      </c>
      <c r="B718" s="14"/>
      <c r="C718" s="14"/>
      <c r="D718" s="14"/>
      <c r="E718" s="14" t="s">
        <v>32</v>
      </c>
      <c r="F718" s="14"/>
      <c r="G718" s="14"/>
      <c r="H718" s="14"/>
      <c r="I718" s="14"/>
      <c r="J718" s="14"/>
      <c r="K718" s="14"/>
      <c r="L718" s="14"/>
      <c r="M718" s="14"/>
    </row>
    <row r="719" spans="1:13" ht="21" customHeight="1">
      <c r="A719" s="6" t="s">
        <v>0</v>
      </c>
      <c r="B719" s="151" t="s">
        <v>38</v>
      </c>
      <c r="C719" s="152"/>
      <c r="D719" s="149" t="s">
        <v>39</v>
      </c>
      <c r="E719" s="150"/>
      <c r="F719" s="149" t="s">
        <v>96</v>
      </c>
      <c r="G719" s="150"/>
      <c r="H719" s="149" t="s">
        <v>97</v>
      </c>
      <c r="I719" s="150"/>
      <c r="J719" s="149" t="s">
        <v>98</v>
      </c>
      <c r="K719" s="150"/>
      <c r="L719" s="149" t="s">
        <v>99</v>
      </c>
      <c r="M719" s="150"/>
    </row>
    <row r="720" spans="1:13" ht="12.75">
      <c r="A720" s="11" t="s">
        <v>5</v>
      </c>
      <c r="B720" s="153"/>
      <c r="C720" s="154"/>
      <c r="D720" s="6" t="s">
        <v>40</v>
      </c>
      <c r="E720" s="6" t="s">
        <v>22</v>
      </c>
      <c r="F720" s="6" t="s">
        <v>40</v>
      </c>
      <c r="G720" s="13" t="s">
        <v>22</v>
      </c>
      <c r="H720" s="2"/>
      <c r="I720" s="2"/>
      <c r="J720" s="2"/>
      <c r="K720" s="2"/>
      <c r="L720" s="2"/>
      <c r="M720" s="2"/>
    </row>
    <row r="721" spans="1:13" ht="12.75">
      <c r="A721" s="2" t="s">
        <v>1</v>
      </c>
      <c r="B721" s="2"/>
      <c r="C721" s="6">
        <v>5</v>
      </c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2.75">
      <c r="A722" s="2" t="s">
        <v>2</v>
      </c>
      <c r="B722" s="2"/>
      <c r="C722" s="6">
        <v>6</v>
      </c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2.75">
      <c r="A723" s="2" t="s">
        <v>3</v>
      </c>
      <c r="B723" s="2"/>
      <c r="C723" s="6">
        <v>60</v>
      </c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2.75">
      <c r="A724" s="2" t="s">
        <v>4</v>
      </c>
      <c r="B724" s="6"/>
      <c r="C724" s="6">
        <v>3643.98</v>
      </c>
      <c r="D724" s="6"/>
      <c r="E724" s="6"/>
      <c r="F724" s="6"/>
      <c r="G724" s="2"/>
      <c r="H724" s="2"/>
      <c r="I724" s="2"/>
      <c r="J724" s="2"/>
      <c r="K724" s="2">
        <v>3647.89</v>
      </c>
      <c r="L724" s="2"/>
      <c r="M724" s="2"/>
    </row>
    <row r="725" spans="1:13" ht="21.75">
      <c r="A725" s="35" t="s">
        <v>6</v>
      </c>
      <c r="B725" s="11" t="s">
        <v>40</v>
      </c>
      <c r="C725" s="2" t="s">
        <v>22</v>
      </c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22.5">
      <c r="A726" s="40" t="s">
        <v>7</v>
      </c>
      <c r="B726" s="3"/>
      <c r="C726" s="6"/>
      <c r="D726" s="6"/>
      <c r="E726" s="6"/>
      <c r="F726" s="2"/>
      <c r="G726" s="2"/>
      <c r="H726" s="2"/>
      <c r="I726" s="2"/>
      <c r="J726" s="2"/>
      <c r="K726" s="2"/>
      <c r="L726" s="2"/>
      <c r="M726" s="2"/>
    </row>
    <row r="727" spans="1:13" ht="12.75">
      <c r="A727" s="41" t="s">
        <v>8</v>
      </c>
      <c r="B727" s="3"/>
      <c r="C727" s="6"/>
      <c r="D727" s="6"/>
      <c r="E727" s="6">
        <f>G727+I727+K727+M727</f>
        <v>356978.54000000004</v>
      </c>
      <c r="F727" s="2"/>
      <c r="G727" s="2">
        <v>86314.05</v>
      </c>
      <c r="H727" s="2"/>
      <c r="I727" s="2">
        <v>75530.27</v>
      </c>
      <c r="J727" s="2"/>
      <c r="K727" s="2">
        <v>98318.41</v>
      </c>
      <c r="L727" s="2"/>
      <c r="M727" s="2">
        <v>96815.81</v>
      </c>
    </row>
    <row r="728" spans="1:13" ht="12.75">
      <c r="A728" s="41" t="s">
        <v>9</v>
      </c>
      <c r="B728" s="3"/>
      <c r="C728" s="6"/>
      <c r="D728" s="6"/>
      <c r="E728" s="6"/>
      <c r="F728" s="2"/>
      <c r="G728" s="2"/>
      <c r="H728" s="2"/>
      <c r="I728" s="2"/>
      <c r="J728" s="2"/>
      <c r="K728" s="2"/>
      <c r="L728" s="2"/>
      <c r="M728" s="2"/>
    </row>
    <row r="729" spans="1:13" ht="12.75">
      <c r="A729" s="2" t="s">
        <v>10</v>
      </c>
      <c r="B729" s="42"/>
      <c r="C729" s="11"/>
      <c r="D729" s="11"/>
      <c r="E729" s="11">
        <f>G729+I729+K729+M729</f>
        <v>356978.54000000004</v>
      </c>
      <c r="F729" s="37"/>
      <c r="G729" s="37">
        <f>SUM(G727:G728)</f>
        <v>86314.05</v>
      </c>
      <c r="H729" s="2"/>
      <c r="I729" s="2">
        <f>SUM(I727:I728)</f>
        <v>75530.27</v>
      </c>
      <c r="J729" s="2"/>
      <c r="K729" s="2">
        <f>SUM(K727:K728)</f>
        <v>98318.41</v>
      </c>
      <c r="L729" s="2"/>
      <c r="M729" s="2">
        <f>SUM(M727:M728)</f>
        <v>96815.81</v>
      </c>
    </row>
    <row r="730" spans="1:13" ht="21.75">
      <c r="A730" s="35" t="s">
        <v>82</v>
      </c>
      <c r="B730" s="4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2.75">
      <c r="A731" s="43" t="s">
        <v>11</v>
      </c>
      <c r="B731" s="44"/>
      <c r="C731" s="45"/>
      <c r="D731" s="45"/>
      <c r="E731" s="7">
        <f>G731+I731+K731+M731</f>
        <v>118925.83343160001</v>
      </c>
      <c r="F731" s="45"/>
      <c r="G731" s="7">
        <f>7.99407*C724</f>
        <v>29130.2311986</v>
      </c>
      <c r="H731" s="2"/>
      <c r="I731" s="7">
        <f>9.57707*C724</f>
        <v>34898.6515386</v>
      </c>
      <c r="J731" s="2"/>
      <c r="K731" s="7">
        <f>7.32829*K724</f>
        <v>26732.7958081</v>
      </c>
      <c r="L731" s="2"/>
      <c r="M731" s="7">
        <f>7.72067*K724</f>
        <v>28164.1548863</v>
      </c>
    </row>
    <row r="732" spans="1:13" ht="12.75">
      <c r="A732" s="43" t="s">
        <v>12</v>
      </c>
      <c r="B732" s="46"/>
      <c r="C732" s="7"/>
      <c r="D732" s="7"/>
      <c r="E732" s="7">
        <f aca="true" t="shared" si="28" ref="E732:E784">G732+I732+K732+M732</f>
        <v>0</v>
      </c>
      <c r="F732" s="7"/>
      <c r="G732" s="7"/>
      <c r="H732" s="2"/>
      <c r="I732" s="7"/>
      <c r="J732" s="2"/>
      <c r="K732" s="7"/>
      <c r="L732" s="2"/>
      <c r="M732" s="7"/>
    </row>
    <row r="733" spans="1:13" ht="12.75">
      <c r="A733" s="41" t="s">
        <v>13</v>
      </c>
      <c r="B733" s="46"/>
      <c r="C733" s="7"/>
      <c r="D733" s="7"/>
      <c r="E733" s="7">
        <f t="shared" si="28"/>
        <v>150998.4738018</v>
      </c>
      <c r="F733" s="7"/>
      <c r="G733" s="7">
        <f>G734+G736+G737+G738+G739+G740+G741+G742+G743+G744+G745</f>
        <v>37084.397206600006</v>
      </c>
      <c r="H733" s="2"/>
      <c r="I733" s="7">
        <f>I734+I736+I737+I738+I739+I740+I741+I742+I743+I744+I745</f>
        <v>39712.637580200004</v>
      </c>
      <c r="J733" s="2"/>
      <c r="K733" s="7">
        <f>K734+K736+K737+K738+K739+K740+K741+K742+K743+K744+K745</f>
        <v>38843.388625</v>
      </c>
      <c r="L733" s="2"/>
      <c r="M733" s="7">
        <f>M734+M736+M737+M738+M739+M740+M741+M742+M743+M744+M745</f>
        <v>35358.050390000004</v>
      </c>
    </row>
    <row r="734" spans="1:13" ht="12.75">
      <c r="A734" s="47" t="s">
        <v>14</v>
      </c>
      <c r="B734" s="46"/>
      <c r="C734" s="71"/>
      <c r="D734" s="7"/>
      <c r="E734" s="7">
        <f t="shared" si="28"/>
        <v>130718</v>
      </c>
      <c r="F734" s="7"/>
      <c r="G734" s="7">
        <v>33769</v>
      </c>
      <c r="H734" s="2"/>
      <c r="I734" s="7">
        <v>32691</v>
      </c>
      <c r="J734" s="2"/>
      <c r="K734" s="7">
        <v>34298</v>
      </c>
      <c r="L734" s="2"/>
      <c r="M734" s="7">
        <v>29960</v>
      </c>
    </row>
    <row r="735" spans="1:13" ht="12.75">
      <c r="A735" s="41" t="s">
        <v>19</v>
      </c>
      <c r="B735" s="46"/>
      <c r="C735" s="71"/>
      <c r="D735" s="7"/>
      <c r="E735" s="7">
        <f t="shared" si="28"/>
        <v>86434.15</v>
      </c>
      <c r="F735" s="7"/>
      <c r="G735" s="7">
        <v>21619.15</v>
      </c>
      <c r="H735" s="2"/>
      <c r="I735" s="7">
        <v>21619</v>
      </c>
      <c r="J735" s="2"/>
      <c r="K735" s="7">
        <v>21598</v>
      </c>
      <c r="L735" s="2"/>
      <c r="M735" s="7">
        <v>21598</v>
      </c>
    </row>
    <row r="736" spans="1:13" ht="12.75">
      <c r="A736" s="41" t="s">
        <v>18</v>
      </c>
      <c r="B736" s="46"/>
      <c r="C736" s="7"/>
      <c r="D736" s="7"/>
      <c r="E736" s="7">
        <f t="shared" si="28"/>
        <v>1354.5500000000002</v>
      </c>
      <c r="F736" s="7"/>
      <c r="G736" s="7">
        <v>212.4</v>
      </c>
      <c r="H736" s="2"/>
      <c r="I736" s="7">
        <v>298.93</v>
      </c>
      <c r="J736" s="2"/>
      <c r="K736" s="7">
        <v>404.79</v>
      </c>
      <c r="L736" s="2"/>
      <c r="M736" s="7">
        <v>438.43</v>
      </c>
    </row>
    <row r="737" spans="1:13" ht="12.75">
      <c r="A737" s="41" t="s">
        <v>53</v>
      </c>
      <c r="B737" s="46"/>
      <c r="C737" s="7"/>
      <c r="D737" s="7"/>
      <c r="E737" s="7">
        <f t="shared" si="28"/>
        <v>8898.9187688</v>
      </c>
      <c r="F737" s="7"/>
      <c r="G737" s="7">
        <f>0.54857*C724</f>
        <v>1998.9781086</v>
      </c>
      <c r="H737" s="2"/>
      <c r="I737" s="7">
        <f>0.53049*C724</f>
        <v>1933.0949502</v>
      </c>
      <c r="J737" s="2"/>
      <c r="K737" s="7">
        <v>4095</v>
      </c>
      <c r="L737" s="2"/>
      <c r="M737" s="7">
        <f>0.239*K724</f>
        <v>871.8457099999999</v>
      </c>
    </row>
    <row r="738" spans="1:13" ht="12.75">
      <c r="A738" s="41" t="s">
        <v>148</v>
      </c>
      <c r="B738" s="46"/>
      <c r="C738" s="7"/>
      <c r="D738" s="7"/>
      <c r="E738" s="7">
        <f t="shared" si="28"/>
        <v>138</v>
      </c>
      <c r="F738" s="7"/>
      <c r="G738" s="7">
        <v>138</v>
      </c>
      <c r="H738" s="2"/>
      <c r="I738" s="7"/>
      <c r="J738" s="2"/>
      <c r="K738" s="7"/>
      <c r="L738" s="2"/>
      <c r="M738" s="7"/>
    </row>
    <row r="739" spans="1:13" ht="12.75">
      <c r="A739" s="41" t="s">
        <v>27</v>
      </c>
      <c r="B739" s="46"/>
      <c r="C739" s="7"/>
      <c r="D739" s="7"/>
      <c r="E739" s="7">
        <f t="shared" si="28"/>
        <v>411</v>
      </c>
      <c r="F739" s="7"/>
      <c r="G739" s="7"/>
      <c r="H739" s="2"/>
      <c r="I739" s="7">
        <v>411</v>
      </c>
      <c r="J739" s="2"/>
      <c r="K739" s="7"/>
      <c r="L739" s="2"/>
      <c r="M739" s="7"/>
    </row>
    <row r="740" spans="1:13" ht="12.75">
      <c r="A740" s="41" t="s">
        <v>36</v>
      </c>
      <c r="B740" s="46"/>
      <c r="C740" s="7"/>
      <c r="D740" s="7"/>
      <c r="E740" s="7">
        <f t="shared" si="28"/>
        <v>8173</v>
      </c>
      <c r="F740" s="7"/>
      <c r="G740" s="7"/>
      <c r="H740" s="2" t="s">
        <v>224</v>
      </c>
      <c r="I740" s="7">
        <v>4129</v>
      </c>
      <c r="J740" s="2"/>
      <c r="K740" s="7"/>
      <c r="L740" s="2" t="s">
        <v>401</v>
      </c>
      <c r="M740" s="7">
        <v>4044</v>
      </c>
    </row>
    <row r="741" spans="1:13" ht="12.75">
      <c r="A741" s="41" t="s">
        <v>58</v>
      </c>
      <c r="B741" s="46"/>
      <c r="C741" s="7"/>
      <c r="D741" s="7"/>
      <c r="E741" s="7">
        <f t="shared" si="28"/>
        <v>0</v>
      </c>
      <c r="F741" s="7"/>
      <c r="G741" s="7"/>
      <c r="H741" s="2"/>
      <c r="I741" s="7"/>
      <c r="J741" s="2"/>
      <c r="K741" s="7"/>
      <c r="L741" s="2"/>
      <c r="M741" s="7"/>
    </row>
    <row r="742" spans="1:13" ht="12.75">
      <c r="A742" s="41" t="s">
        <v>43</v>
      </c>
      <c r="B742" s="46"/>
      <c r="C742" s="7"/>
      <c r="D742" s="7"/>
      <c r="E742" s="7">
        <f t="shared" si="28"/>
        <v>0</v>
      </c>
      <c r="F742" s="7"/>
      <c r="G742" s="7"/>
      <c r="H742" s="2"/>
      <c r="I742" s="7"/>
      <c r="J742" s="2"/>
      <c r="K742" s="7"/>
      <c r="L742" s="2"/>
      <c r="M742" s="7"/>
    </row>
    <row r="743" spans="1:13" ht="12.75">
      <c r="A743" s="41" t="s">
        <v>30</v>
      </c>
      <c r="B743" s="46"/>
      <c r="C743" s="7"/>
      <c r="D743" s="7"/>
      <c r="E743" s="7">
        <f t="shared" si="28"/>
        <v>0</v>
      </c>
      <c r="F743" s="7"/>
      <c r="G743" s="7"/>
      <c r="H743" s="2"/>
      <c r="I743" s="7"/>
      <c r="J743" s="2"/>
      <c r="K743" s="7"/>
      <c r="L743" s="2"/>
      <c r="M743" s="7"/>
    </row>
    <row r="744" spans="1:13" ht="12.75">
      <c r="A744" s="41" t="s">
        <v>54</v>
      </c>
      <c r="B744" s="46"/>
      <c r="C744" s="7"/>
      <c r="D744" s="7"/>
      <c r="E744" s="7">
        <f t="shared" si="28"/>
        <v>115.196688</v>
      </c>
      <c r="F744" s="7"/>
      <c r="G744" s="7">
        <f>0.0196*C724</f>
        <v>71.42200799999999</v>
      </c>
      <c r="H744" s="2"/>
      <c r="I744" s="7"/>
      <c r="J744" s="2"/>
      <c r="K744" s="7"/>
      <c r="L744" s="2"/>
      <c r="M744" s="7">
        <f>0.012*K724</f>
        <v>43.77468</v>
      </c>
    </row>
    <row r="745" spans="1:13" ht="13.5" thickBot="1">
      <c r="A745" s="48" t="s">
        <v>55</v>
      </c>
      <c r="B745" s="49"/>
      <c r="C745" s="50"/>
      <c r="D745" s="50"/>
      <c r="E745" s="50">
        <f t="shared" si="28"/>
        <v>1189.8083450000001</v>
      </c>
      <c r="F745" s="50"/>
      <c r="G745" s="50">
        <f>0.2455*C724</f>
        <v>894.59709</v>
      </c>
      <c r="H745" s="22"/>
      <c r="I745" s="50">
        <f>0.0685*C724</f>
        <v>249.61263000000002</v>
      </c>
      <c r="J745" s="22"/>
      <c r="K745" s="50">
        <f>0.0125*K724</f>
        <v>45.598625</v>
      </c>
      <c r="L745" s="22"/>
      <c r="M745" s="50"/>
    </row>
    <row r="746" spans="1:13" ht="13.5" thickBot="1">
      <c r="A746" s="51" t="s">
        <v>76</v>
      </c>
      <c r="B746" s="81"/>
      <c r="C746" s="63"/>
      <c r="D746" s="63"/>
      <c r="E746" s="63">
        <f t="shared" si="28"/>
        <v>269924.3072334</v>
      </c>
      <c r="F746" s="63"/>
      <c r="G746" s="63">
        <f>G731+G733</f>
        <v>66214.6284052</v>
      </c>
      <c r="H746" s="26"/>
      <c r="I746" s="63">
        <f>I731+I733</f>
        <v>74611.2891188</v>
      </c>
      <c r="J746" s="26"/>
      <c r="K746" s="63">
        <f>K731+K733</f>
        <v>65576.1844331</v>
      </c>
      <c r="L746" s="26"/>
      <c r="M746" s="29">
        <f>M731+M733</f>
        <v>63522.2052763</v>
      </c>
    </row>
    <row r="747" spans="1:13" ht="21.75">
      <c r="A747" s="54" t="s">
        <v>15</v>
      </c>
      <c r="B747" s="55"/>
      <c r="C747" s="66"/>
      <c r="D747" s="66"/>
      <c r="E747" s="56">
        <f t="shared" si="28"/>
        <v>0</v>
      </c>
      <c r="F747" s="66"/>
      <c r="G747" s="56"/>
      <c r="H747" s="74"/>
      <c r="I747" s="56"/>
      <c r="J747" s="74"/>
      <c r="K747" s="56"/>
      <c r="L747" s="74"/>
      <c r="M747" s="56"/>
    </row>
    <row r="748" spans="1:13" ht="12.75">
      <c r="A748" s="41" t="s">
        <v>17</v>
      </c>
      <c r="B748" s="46"/>
      <c r="C748" s="7"/>
      <c r="D748" s="7"/>
      <c r="E748" s="7">
        <f t="shared" si="28"/>
        <v>104827.97900670001</v>
      </c>
      <c r="F748" s="7"/>
      <c r="G748" s="7">
        <f>6.73321*C724</f>
        <v>24535.682575799998</v>
      </c>
      <c r="H748" s="2"/>
      <c r="I748" s="7">
        <f>7.02207*C724</f>
        <v>25588.2826386</v>
      </c>
      <c r="J748" s="2"/>
      <c r="K748" s="7">
        <f>7.2754*K724</f>
        <v>26539.858906</v>
      </c>
      <c r="L748" s="2"/>
      <c r="M748" s="7">
        <f>7.72067*K724</f>
        <v>28164.1548863</v>
      </c>
    </row>
    <row r="749" spans="1:13" ht="12.75">
      <c r="A749" s="41" t="s">
        <v>407</v>
      </c>
      <c r="B749" s="46"/>
      <c r="C749" s="71"/>
      <c r="D749" s="7"/>
      <c r="E749" s="7">
        <f t="shared" si="28"/>
        <v>49817</v>
      </c>
      <c r="F749" s="7"/>
      <c r="G749" s="7"/>
      <c r="H749" s="2" t="s">
        <v>225</v>
      </c>
      <c r="I749" s="7">
        <v>43787</v>
      </c>
      <c r="J749" s="2"/>
      <c r="K749" s="7"/>
      <c r="L749" s="2"/>
      <c r="M749" s="7">
        <v>6030</v>
      </c>
    </row>
    <row r="750" spans="1:13" ht="12.75">
      <c r="A750" s="41" t="s">
        <v>408</v>
      </c>
      <c r="B750" s="46"/>
      <c r="C750" s="71"/>
      <c r="D750" s="7"/>
      <c r="E750" s="7"/>
      <c r="F750" s="7"/>
      <c r="G750" s="7"/>
      <c r="H750" s="2"/>
      <c r="I750" s="7"/>
      <c r="J750" s="2"/>
      <c r="K750" s="7"/>
      <c r="L750" s="2"/>
      <c r="M750" s="7">
        <v>2514</v>
      </c>
    </row>
    <row r="751" spans="1:13" ht="12.75">
      <c r="A751" s="41" t="s">
        <v>67</v>
      </c>
      <c r="B751" s="46"/>
      <c r="C751" s="7"/>
      <c r="D751" s="7"/>
      <c r="E751" s="7">
        <f t="shared" si="28"/>
        <v>16776.1</v>
      </c>
      <c r="F751" s="7"/>
      <c r="G751" s="7">
        <v>3582</v>
      </c>
      <c r="H751" s="2"/>
      <c r="I751" s="7">
        <v>12753</v>
      </c>
      <c r="J751" s="2"/>
      <c r="K751" s="7">
        <v>63</v>
      </c>
      <c r="L751" s="2"/>
      <c r="M751" s="7">
        <v>378.1</v>
      </c>
    </row>
    <row r="752" spans="1:13" ht="12.75">
      <c r="A752" s="41" t="s">
        <v>68</v>
      </c>
      <c r="B752" s="46"/>
      <c r="C752" s="7"/>
      <c r="D752" s="7"/>
      <c r="E752" s="7">
        <f t="shared" si="28"/>
        <v>0</v>
      </c>
      <c r="F752" s="7"/>
      <c r="G752" s="7"/>
      <c r="H752" s="2"/>
      <c r="I752" s="7"/>
      <c r="J752" s="2"/>
      <c r="K752" s="7"/>
      <c r="L752" s="2"/>
      <c r="M752" s="7"/>
    </row>
    <row r="753" spans="1:13" ht="12.75">
      <c r="A753" s="41" t="s">
        <v>406</v>
      </c>
      <c r="B753" s="46"/>
      <c r="C753" s="7"/>
      <c r="D753" s="7"/>
      <c r="E753" s="7">
        <f t="shared" si="28"/>
        <v>1448</v>
      </c>
      <c r="F753" s="7"/>
      <c r="G753" s="7"/>
      <c r="H753" s="2"/>
      <c r="I753" s="7"/>
      <c r="J753" s="2"/>
      <c r="K753" s="7"/>
      <c r="L753" s="2"/>
      <c r="M753" s="7">
        <v>1448</v>
      </c>
    </row>
    <row r="754" spans="1:13" ht="12.75">
      <c r="A754" s="41" t="s">
        <v>163</v>
      </c>
      <c r="B754" s="46"/>
      <c r="C754" s="7"/>
      <c r="D754" s="7"/>
      <c r="E754" s="7"/>
      <c r="F754" s="7"/>
      <c r="G754" s="7"/>
      <c r="H754" s="2"/>
      <c r="I754" s="7"/>
      <c r="J754" s="2"/>
      <c r="K754" s="7">
        <v>1075</v>
      </c>
      <c r="L754" s="2"/>
      <c r="M754" s="7">
        <v>1740</v>
      </c>
    </row>
    <row r="755" spans="1:13" ht="12.75">
      <c r="A755" s="41" t="s">
        <v>26</v>
      </c>
      <c r="B755" s="46"/>
      <c r="C755" s="7"/>
      <c r="D755" s="7"/>
      <c r="E755" s="7">
        <f t="shared" si="28"/>
        <v>2551</v>
      </c>
      <c r="F755" s="7"/>
      <c r="G755" s="7"/>
      <c r="H755" s="2"/>
      <c r="I755" s="7">
        <v>821</v>
      </c>
      <c r="J755" s="2"/>
      <c r="K755" s="7"/>
      <c r="L755" s="2"/>
      <c r="M755" s="7">
        <v>1730</v>
      </c>
    </row>
    <row r="756" spans="1:13" ht="12.75">
      <c r="A756" s="41" t="s">
        <v>28</v>
      </c>
      <c r="B756" s="46"/>
      <c r="C756" s="7"/>
      <c r="D756" s="7"/>
      <c r="E756" s="7">
        <f t="shared" si="28"/>
        <v>865</v>
      </c>
      <c r="F756" s="7"/>
      <c r="G756" s="7"/>
      <c r="H756" s="2"/>
      <c r="I756" s="7"/>
      <c r="J756" s="2"/>
      <c r="K756" s="7"/>
      <c r="L756" s="2"/>
      <c r="M756" s="7">
        <v>865</v>
      </c>
    </row>
    <row r="757" spans="1:13" ht="12.75">
      <c r="A757" s="41" t="s">
        <v>60</v>
      </c>
      <c r="B757" s="46"/>
      <c r="C757" s="7"/>
      <c r="D757" s="7"/>
      <c r="E757" s="7">
        <f t="shared" si="28"/>
        <v>0</v>
      </c>
      <c r="F757" s="7"/>
      <c r="G757" s="7"/>
      <c r="H757" s="2"/>
      <c r="I757" s="7"/>
      <c r="J757" s="2"/>
      <c r="K757" s="7"/>
      <c r="L757" s="2"/>
      <c r="M757" s="7"/>
    </row>
    <row r="758" spans="1:13" ht="12.75">
      <c r="A758" s="41" t="s">
        <v>163</v>
      </c>
      <c r="B758" s="46"/>
      <c r="C758" s="7"/>
      <c r="D758" s="7"/>
      <c r="E758" s="7">
        <f t="shared" si="28"/>
        <v>103</v>
      </c>
      <c r="F758" s="7"/>
      <c r="G758" s="7"/>
      <c r="H758" s="2"/>
      <c r="I758" s="7"/>
      <c r="J758" s="2"/>
      <c r="K758" s="7"/>
      <c r="L758" s="2"/>
      <c r="M758" s="7">
        <v>103</v>
      </c>
    </row>
    <row r="759" spans="1:13" ht="12.75">
      <c r="A759" s="41" t="s">
        <v>62</v>
      </c>
      <c r="B759" s="46"/>
      <c r="C759" s="7"/>
      <c r="D759" s="7"/>
      <c r="E759" s="7">
        <f t="shared" si="28"/>
        <v>0</v>
      </c>
      <c r="F759" s="7"/>
      <c r="G759" s="7"/>
      <c r="H759" s="2"/>
      <c r="I759" s="7"/>
      <c r="J759" s="2"/>
      <c r="K759" s="7"/>
      <c r="L759" s="2"/>
      <c r="M759" s="7"/>
    </row>
    <row r="760" spans="1:13" ht="12.75">
      <c r="A760" s="41" t="s">
        <v>63</v>
      </c>
      <c r="B760" s="46"/>
      <c r="C760" s="7"/>
      <c r="D760" s="7"/>
      <c r="E760" s="7">
        <f t="shared" si="28"/>
        <v>0</v>
      </c>
      <c r="F760" s="7"/>
      <c r="G760" s="7"/>
      <c r="H760" s="2"/>
      <c r="I760" s="7"/>
      <c r="J760" s="2"/>
      <c r="K760" s="7"/>
      <c r="L760" s="2"/>
      <c r="M760" s="7"/>
    </row>
    <row r="761" spans="1:13" ht="12.75">
      <c r="A761" s="41" t="s">
        <v>66</v>
      </c>
      <c r="B761" s="46"/>
      <c r="C761" s="7"/>
      <c r="D761" s="7"/>
      <c r="E761" s="7">
        <f t="shared" si="28"/>
        <v>0</v>
      </c>
      <c r="F761" s="7"/>
      <c r="G761" s="7"/>
      <c r="H761" s="2"/>
      <c r="I761" s="7"/>
      <c r="J761" s="2"/>
      <c r="K761" s="7"/>
      <c r="L761" s="2"/>
      <c r="M761" s="7"/>
    </row>
    <row r="762" spans="1:13" ht="12.75">
      <c r="A762" s="41" t="s">
        <v>51</v>
      </c>
      <c r="B762" s="46"/>
      <c r="C762" s="7"/>
      <c r="D762" s="7"/>
      <c r="E762" s="7">
        <f t="shared" si="28"/>
        <v>2509.72</v>
      </c>
      <c r="F762" s="7"/>
      <c r="G762" s="7"/>
      <c r="H762" s="2"/>
      <c r="I762" s="7">
        <v>2509.72</v>
      </c>
      <c r="J762" s="2"/>
      <c r="K762" s="7"/>
      <c r="L762" s="2"/>
      <c r="M762" s="7"/>
    </row>
    <row r="763" spans="1:13" ht="12.75">
      <c r="A763" s="58" t="s">
        <v>52</v>
      </c>
      <c r="B763" s="46"/>
      <c r="C763" s="7"/>
      <c r="D763" s="7"/>
      <c r="E763" s="7">
        <f t="shared" si="28"/>
        <v>0</v>
      </c>
      <c r="F763" s="7"/>
      <c r="G763" s="7"/>
      <c r="H763" s="2"/>
      <c r="I763" s="7"/>
      <c r="J763" s="2"/>
      <c r="K763" s="7"/>
      <c r="L763" s="2"/>
      <c r="M763" s="7"/>
    </row>
    <row r="764" spans="1:13" ht="12.75">
      <c r="A764" s="41" t="s">
        <v>80</v>
      </c>
      <c r="B764" s="46"/>
      <c r="C764" s="7"/>
      <c r="D764" s="7"/>
      <c r="E764" s="7">
        <f t="shared" si="28"/>
        <v>0</v>
      </c>
      <c r="F764" s="7"/>
      <c r="G764" s="7"/>
      <c r="H764" s="2"/>
      <c r="I764" s="7"/>
      <c r="J764" s="2"/>
      <c r="K764" s="7"/>
      <c r="L764" s="2"/>
      <c r="M764" s="7"/>
    </row>
    <row r="765" spans="1:13" ht="12.75">
      <c r="A765" s="41" t="s">
        <v>65</v>
      </c>
      <c r="B765" s="46"/>
      <c r="C765" s="7"/>
      <c r="D765" s="7"/>
      <c r="E765" s="7">
        <f t="shared" si="28"/>
        <v>0</v>
      </c>
      <c r="F765" s="7"/>
      <c r="G765" s="7"/>
      <c r="H765" s="2"/>
      <c r="I765" s="7"/>
      <c r="J765" s="2"/>
      <c r="K765" s="7"/>
      <c r="L765" s="2"/>
      <c r="M765" s="7"/>
    </row>
    <row r="766" spans="1:13" ht="12.75">
      <c r="A766" s="41" t="s">
        <v>57</v>
      </c>
      <c r="B766" s="46"/>
      <c r="C766" s="7"/>
      <c r="D766" s="7"/>
      <c r="E766" s="7">
        <f t="shared" si="28"/>
        <v>25.872258000000002</v>
      </c>
      <c r="F766" s="7"/>
      <c r="G766" s="7"/>
      <c r="H766" s="2"/>
      <c r="I766" s="7">
        <f>0.0071*C724</f>
        <v>25.872258000000002</v>
      </c>
      <c r="J766" s="2"/>
      <c r="K766" s="7"/>
      <c r="L766" s="2"/>
      <c r="M766" s="7"/>
    </row>
    <row r="767" spans="1:13" ht="12.75">
      <c r="A767" s="41" t="s">
        <v>33</v>
      </c>
      <c r="B767" s="46"/>
      <c r="C767" s="7"/>
      <c r="D767" s="7"/>
      <c r="E767" s="7">
        <f t="shared" si="28"/>
        <v>1871</v>
      </c>
      <c r="F767" s="15"/>
      <c r="G767" s="7"/>
      <c r="H767" s="2"/>
      <c r="I767" s="7"/>
      <c r="J767" s="2"/>
      <c r="K767" s="7">
        <v>1871</v>
      </c>
      <c r="L767" s="2"/>
      <c r="M767" s="7"/>
    </row>
    <row r="768" spans="1:13" ht="12.75">
      <c r="A768" s="41" t="s">
        <v>50</v>
      </c>
      <c r="B768" s="46"/>
      <c r="C768" s="7"/>
      <c r="D768" s="7"/>
      <c r="E768" s="7">
        <f t="shared" si="28"/>
        <v>3101.721019</v>
      </c>
      <c r="F768" s="7"/>
      <c r="G768" s="7"/>
      <c r="H768" s="2"/>
      <c r="I768" s="7">
        <f>0.5802*C724</f>
        <v>2114.237196</v>
      </c>
      <c r="J768" s="2"/>
      <c r="K768" s="7">
        <f>0.1437*K724</f>
        <v>524.201793</v>
      </c>
      <c r="L768" s="2"/>
      <c r="M768" s="7">
        <f>0.127*K724</f>
        <v>463.28202999999996</v>
      </c>
    </row>
    <row r="769" spans="1:13" ht="12.75">
      <c r="A769" s="41" t="s">
        <v>54</v>
      </c>
      <c r="B769" s="46"/>
      <c r="C769" s="7"/>
      <c r="D769" s="7"/>
      <c r="E769" s="7">
        <f t="shared" si="28"/>
        <v>68.549834</v>
      </c>
      <c r="F769" s="7"/>
      <c r="G769" s="7"/>
      <c r="H769" s="2"/>
      <c r="I769" s="7">
        <f>0.0078*C724</f>
        <v>28.423043999999997</v>
      </c>
      <c r="J769" s="2"/>
      <c r="K769" s="7">
        <f>0.011*K724</f>
        <v>40.12679</v>
      </c>
      <c r="L769" s="2"/>
      <c r="M769" s="7"/>
    </row>
    <row r="770" spans="1:13" ht="12.75">
      <c r="A770" s="48" t="s">
        <v>155</v>
      </c>
      <c r="B770" s="49"/>
      <c r="C770" s="50"/>
      <c r="D770" s="50"/>
      <c r="E770" s="50"/>
      <c r="F770" s="50"/>
      <c r="G770" s="50">
        <v>5539</v>
      </c>
      <c r="H770" s="22"/>
      <c r="I770" s="50"/>
      <c r="J770" s="22"/>
      <c r="K770" s="50"/>
      <c r="L770" s="22"/>
      <c r="M770" s="50"/>
    </row>
    <row r="771" spans="1:13" ht="13.5" thickBot="1">
      <c r="A771" s="48" t="s">
        <v>145</v>
      </c>
      <c r="B771" s="49"/>
      <c r="C771" s="50"/>
      <c r="D771" s="50"/>
      <c r="E771" s="50">
        <f t="shared" si="28"/>
        <v>1102</v>
      </c>
      <c r="F771" s="50"/>
      <c r="G771" s="50">
        <v>1102</v>
      </c>
      <c r="H771" s="22"/>
      <c r="I771" s="50"/>
      <c r="J771" s="22"/>
      <c r="K771" s="50"/>
      <c r="L771" s="22"/>
      <c r="M771" s="50"/>
    </row>
    <row r="772" spans="1:13" ht="13.5" thickBot="1">
      <c r="A772" s="59" t="s">
        <v>10</v>
      </c>
      <c r="B772" s="81"/>
      <c r="C772" s="63"/>
      <c r="D772" s="63"/>
      <c r="E772" s="63">
        <f t="shared" si="28"/>
        <v>195934.9421177</v>
      </c>
      <c r="F772" s="63"/>
      <c r="G772" s="63">
        <f>SUM(G748:G771)</f>
        <v>34758.6825758</v>
      </c>
      <c r="H772" s="26"/>
      <c r="I772" s="63">
        <f>SUM(I748:I771)</f>
        <v>87627.53513660001</v>
      </c>
      <c r="J772" s="26"/>
      <c r="K772" s="63">
        <f>SUM(K748:K771)</f>
        <v>30113.187489</v>
      </c>
      <c r="L772" s="26"/>
      <c r="M772" s="29">
        <f>SUM(M748:M771)</f>
        <v>43435.5369163</v>
      </c>
    </row>
    <row r="773" spans="1:13" ht="12.75">
      <c r="A773" s="60" t="s">
        <v>42</v>
      </c>
      <c r="B773" s="55"/>
      <c r="C773" s="66"/>
      <c r="D773" s="66"/>
      <c r="E773" s="56">
        <f t="shared" si="28"/>
        <v>0</v>
      </c>
      <c r="F773" s="66"/>
      <c r="G773" s="56"/>
      <c r="H773" s="74"/>
      <c r="I773" s="56"/>
      <c r="J773" s="74"/>
      <c r="K773" s="56"/>
      <c r="L773" s="74"/>
      <c r="M773" s="56"/>
    </row>
    <row r="774" spans="1:13" ht="12.75">
      <c r="A774" s="41" t="s">
        <v>56</v>
      </c>
      <c r="B774" s="46"/>
      <c r="C774" s="7"/>
      <c r="D774" s="7"/>
      <c r="E774" s="7">
        <f t="shared" si="28"/>
        <v>0</v>
      </c>
      <c r="F774" s="7"/>
      <c r="G774" s="7"/>
      <c r="H774" s="2"/>
      <c r="I774" s="7"/>
      <c r="J774" s="2"/>
      <c r="K774" s="7"/>
      <c r="L774" s="2"/>
      <c r="M774" s="7"/>
    </row>
    <row r="775" spans="1:13" ht="12.75">
      <c r="A775" s="41" t="s">
        <v>375</v>
      </c>
      <c r="B775" s="46"/>
      <c r="C775" s="7"/>
      <c r="D775" s="7"/>
      <c r="E775" s="7">
        <f t="shared" si="28"/>
        <v>267.2</v>
      </c>
      <c r="F775" s="7"/>
      <c r="G775" s="7"/>
      <c r="H775" s="2"/>
      <c r="I775" s="7"/>
      <c r="J775" s="2"/>
      <c r="K775" s="7"/>
      <c r="L775" s="2"/>
      <c r="M775" s="7">
        <v>267.2</v>
      </c>
    </row>
    <row r="776" spans="1:13" ht="12.75">
      <c r="A776" s="41" t="s">
        <v>146</v>
      </c>
      <c r="B776" s="46"/>
      <c r="C776" s="7"/>
      <c r="D776" s="7"/>
      <c r="E776" s="7">
        <f t="shared" si="28"/>
        <v>1285</v>
      </c>
      <c r="F776" s="7"/>
      <c r="G776" s="7">
        <v>447</v>
      </c>
      <c r="H776" s="2"/>
      <c r="I776" s="7"/>
      <c r="J776" s="2"/>
      <c r="K776" s="7">
        <v>838</v>
      </c>
      <c r="L776" s="2"/>
      <c r="M776" s="7"/>
    </row>
    <row r="777" spans="1:13" ht="12.75">
      <c r="A777" s="48" t="s">
        <v>405</v>
      </c>
      <c r="B777" s="49"/>
      <c r="C777" s="50"/>
      <c r="D777" s="50"/>
      <c r="E777" s="7">
        <f t="shared" si="28"/>
        <v>80.23</v>
      </c>
      <c r="F777" s="50"/>
      <c r="G777" s="50"/>
      <c r="H777" s="22"/>
      <c r="I777" s="50"/>
      <c r="J777" s="22"/>
      <c r="K777" s="50"/>
      <c r="L777" s="22"/>
      <c r="M777" s="50">
        <v>80.23</v>
      </c>
    </row>
    <row r="778" spans="1:13" ht="12.75">
      <c r="A778" s="48" t="s">
        <v>404</v>
      </c>
      <c r="B778" s="49"/>
      <c r="C778" s="50"/>
      <c r="D778" s="50"/>
      <c r="E778" s="7">
        <f t="shared" si="28"/>
        <v>688.1</v>
      </c>
      <c r="F778" s="50"/>
      <c r="G778" s="50"/>
      <c r="H778" s="22"/>
      <c r="I778" s="50"/>
      <c r="J778" s="22"/>
      <c r="K778" s="50"/>
      <c r="L778" s="22"/>
      <c r="M778" s="50">
        <v>688.1</v>
      </c>
    </row>
    <row r="779" spans="1:13" ht="12.75">
      <c r="A779" s="48" t="s">
        <v>409</v>
      </c>
      <c r="B779" s="49"/>
      <c r="C779" s="50"/>
      <c r="D779" s="50"/>
      <c r="E779" s="7">
        <f t="shared" si="28"/>
        <v>443.7</v>
      </c>
      <c r="F779" s="50"/>
      <c r="G779" s="50"/>
      <c r="H779" s="22"/>
      <c r="I779" s="50"/>
      <c r="J779" s="22"/>
      <c r="K779" s="50"/>
      <c r="L779" s="22"/>
      <c r="M779" s="50">
        <v>443.7</v>
      </c>
    </row>
    <row r="780" spans="1:13" ht="12.75">
      <c r="A780" s="48" t="s">
        <v>16</v>
      </c>
      <c r="B780" s="49"/>
      <c r="C780" s="50"/>
      <c r="D780" s="50"/>
      <c r="E780" s="7">
        <f t="shared" si="28"/>
        <v>756.194874</v>
      </c>
      <c r="F780" s="50"/>
      <c r="G780" s="50">
        <f>0.0089*C724</f>
        <v>32.431422</v>
      </c>
      <c r="H780" s="22"/>
      <c r="I780" s="50">
        <v>626</v>
      </c>
      <c r="J780" s="22"/>
      <c r="K780" s="50"/>
      <c r="L780" s="22"/>
      <c r="M780" s="50">
        <f>0.0268*K724</f>
        <v>97.763452</v>
      </c>
    </row>
    <row r="781" spans="1:13" ht="13.5" thickBot="1">
      <c r="A781" s="130" t="s">
        <v>302</v>
      </c>
      <c r="B781" s="115"/>
      <c r="C781" s="116"/>
      <c r="D781" s="116"/>
      <c r="E781" s="7">
        <f t="shared" si="28"/>
        <v>338</v>
      </c>
      <c r="F781" s="116"/>
      <c r="G781" s="116"/>
      <c r="H781" s="129"/>
      <c r="I781" s="116"/>
      <c r="J781" s="129"/>
      <c r="K781" s="116">
        <v>180</v>
      </c>
      <c r="L781" s="129"/>
      <c r="M781" s="127">
        <v>158</v>
      </c>
    </row>
    <row r="782" spans="1:13" ht="13.5" thickBot="1">
      <c r="A782" s="62" t="s">
        <v>10</v>
      </c>
      <c r="B782" s="81"/>
      <c r="C782" s="63"/>
      <c r="D782" s="63"/>
      <c r="E782" s="63">
        <f t="shared" si="28"/>
        <v>3858.4248740000003</v>
      </c>
      <c r="F782" s="63"/>
      <c r="G782" s="63">
        <f>SUM(G776:G780)</f>
        <v>479.431422</v>
      </c>
      <c r="H782" s="26"/>
      <c r="I782" s="63">
        <f>SUM(I774:I780)</f>
        <v>626</v>
      </c>
      <c r="J782" s="26"/>
      <c r="K782" s="63">
        <f>SUM(K774:K781)</f>
        <v>1018</v>
      </c>
      <c r="L782" s="26"/>
      <c r="M782" s="29">
        <f>SUM(M774:M781)</f>
        <v>1734.993452</v>
      </c>
    </row>
    <row r="783" spans="1:13" ht="13.5" thickBot="1">
      <c r="A783" s="64" t="s">
        <v>29</v>
      </c>
      <c r="B783" s="81"/>
      <c r="C783" s="63"/>
      <c r="D783" s="63"/>
      <c r="E783" s="63">
        <f t="shared" si="28"/>
        <v>8359.526466</v>
      </c>
      <c r="F783" s="63"/>
      <c r="G783" s="63">
        <f>0.4236*C724</f>
        <v>1543.5899279999999</v>
      </c>
      <c r="H783" s="26"/>
      <c r="I783" s="63">
        <f>0.5971*C724</f>
        <v>2175.8204579999997</v>
      </c>
      <c r="J783" s="26"/>
      <c r="K783" s="63"/>
      <c r="L783" s="26"/>
      <c r="M783" s="29">
        <f>1.272*K724</f>
        <v>4640.11608</v>
      </c>
    </row>
    <row r="784" spans="1:13" ht="21.75">
      <c r="A784" s="65" t="s">
        <v>83</v>
      </c>
      <c r="B784" s="61"/>
      <c r="C784" s="56"/>
      <c r="D784" s="56"/>
      <c r="E784" s="56">
        <f t="shared" si="28"/>
        <v>478077.20069110004</v>
      </c>
      <c r="F784" s="56"/>
      <c r="G784" s="56">
        <f>G746+G772+G782+G783</f>
        <v>102996.33233099998</v>
      </c>
      <c r="H784" s="74"/>
      <c r="I784" s="56">
        <f>I746+I772+I782+I783</f>
        <v>165040.64471340002</v>
      </c>
      <c r="J784" s="74"/>
      <c r="K784" s="56">
        <f>K746+K772+K782+K783</f>
        <v>96707.3719221</v>
      </c>
      <c r="L784" s="74"/>
      <c r="M784" s="56">
        <f>M746+M772+M782+M783</f>
        <v>113332.85172460001</v>
      </c>
    </row>
    <row r="785" spans="1:13" ht="33.75">
      <c r="A785" s="67" t="s">
        <v>84</v>
      </c>
      <c r="B785" s="46"/>
      <c r="C785" s="7"/>
      <c r="D785" s="7"/>
      <c r="E785" s="8">
        <f>E784/12/C724</f>
        <v>10.933036604003956</v>
      </c>
      <c r="F785" s="7"/>
      <c r="G785" s="8">
        <f>G784/3/C724</f>
        <v>9.421596928907402</v>
      </c>
      <c r="H785" s="2"/>
      <c r="I785" s="8">
        <f>I784/3/C724</f>
        <v>15.097104879225464</v>
      </c>
      <c r="J785" s="2"/>
      <c r="K785" s="8">
        <f>K784/3/K724</f>
        <v>8.836831878346112</v>
      </c>
      <c r="L785" s="2"/>
      <c r="M785" s="8">
        <f>M784/3/K724</f>
        <v>10.356018750985731</v>
      </c>
    </row>
    <row r="786" spans="1:13" ht="12.75">
      <c r="A786" s="69" t="s">
        <v>20</v>
      </c>
      <c r="B786" s="44"/>
      <c r="C786" s="45"/>
      <c r="D786" s="45"/>
      <c r="E786" s="7">
        <f>E729-E784</f>
        <v>-121098.6606911</v>
      </c>
      <c r="F786" s="45"/>
      <c r="G786" s="7">
        <f>G727-G784</f>
        <v>-16682.28233099998</v>
      </c>
      <c r="H786" s="2"/>
      <c r="I786" s="7">
        <f>I729-I784-16682</f>
        <v>-106192.37471340002</v>
      </c>
      <c r="J786" s="2"/>
      <c r="K786" s="7">
        <f>K729-K784-106192</f>
        <v>-104580.9619221</v>
      </c>
      <c r="L786" s="2"/>
      <c r="M786" s="7">
        <f>M729-M784-104581</f>
        <v>-121098.04172460001</v>
      </c>
    </row>
    <row r="787" spans="1:13" ht="12.75">
      <c r="A787" s="14" t="s">
        <v>24</v>
      </c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1:13" ht="12.75">
      <c r="A788" s="14" t="s">
        <v>35</v>
      </c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1:13" ht="12.75">
      <c r="A789" s="14" t="s">
        <v>25</v>
      </c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1:13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1:13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1:13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1:13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1:13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1:13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1:13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1:13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1:13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1:13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1:13" ht="2.2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1:13" ht="12.75" hidden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1:13" ht="12.75" hidden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1:13" ht="12.75" hidden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1:13" ht="12.75" hidden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1:13" ht="0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1:13" ht="12.75" hidden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1:13" ht="12.75" hidden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1:13" ht="12.75" hidden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1:13" ht="12.75" hidden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1:13" ht="12.75" hidden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1:13" ht="12.75" hidden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1:13" ht="12.75" hidden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1:13" ht="12.75">
      <c r="A813" s="31" t="s">
        <v>21</v>
      </c>
      <c r="B813" s="31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1:13" ht="12.75">
      <c r="A814" s="14" t="s">
        <v>31</v>
      </c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1:13" ht="12.75">
      <c r="A815" s="14" t="s">
        <v>41</v>
      </c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1:13" ht="12.75">
      <c r="A816" s="14" t="s">
        <v>109</v>
      </c>
      <c r="B816" s="14"/>
      <c r="C816" s="14"/>
      <c r="D816" s="14"/>
      <c r="E816" s="14" t="s">
        <v>32</v>
      </c>
      <c r="F816" s="14"/>
      <c r="G816" s="14"/>
      <c r="H816" s="14"/>
      <c r="I816" s="14"/>
      <c r="J816" s="14"/>
      <c r="K816" s="14"/>
      <c r="L816" s="14"/>
      <c r="M816" s="14"/>
    </row>
    <row r="817" spans="1:13" ht="12.75" customHeight="1">
      <c r="A817" s="6" t="s">
        <v>0</v>
      </c>
      <c r="B817" s="151" t="s">
        <v>38</v>
      </c>
      <c r="C817" s="152"/>
      <c r="D817" s="149" t="s">
        <v>39</v>
      </c>
      <c r="E817" s="150"/>
      <c r="F817" s="149" t="s">
        <v>96</v>
      </c>
      <c r="G817" s="150"/>
      <c r="H817" s="149" t="s">
        <v>97</v>
      </c>
      <c r="I817" s="150"/>
      <c r="J817" s="149" t="s">
        <v>98</v>
      </c>
      <c r="K817" s="150"/>
      <c r="L817" s="149" t="s">
        <v>99</v>
      </c>
      <c r="M817" s="150"/>
    </row>
    <row r="818" spans="1:13" ht="12.75">
      <c r="A818" s="11" t="s">
        <v>5</v>
      </c>
      <c r="B818" s="153"/>
      <c r="C818" s="154"/>
      <c r="D818" s="6" t="s">
        <v>40</v>
      </c>
      <c r="E818" s="6" t="s">
        <v>22</v>
      </c>
      <c r="F818" s="6" t="s">
        <v>40</v>
      </c>
      <c r="G818" s="13" t="s">
        <v>22</v>
      </c>
      <c r="H818" s="2"/>
      <c r="I818" s="2"/>
      <c r="J818" s="2"/>
      <c r="K818" s="2"/>
      <c r="L818" s="2"/>
      <c r="M818" s="2"/>
    </row>
    <row r="819" spans="1:13" ht="12.75">
      <c r="A819" s="2" t="s">
        <v>1</v>
      </c>
      <c r="B819" s="2"/>
      <c r="C819" s="6">
        <v>5</v>
      </c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2.75">
      <c r="A820" s="2" t="s">
        <v>2</v>
      </c>
      <c r="B820" s="2"/>
      <c r="C820" s="6">
        <v>6</v>
      </c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2.75">
      <c r="A821" s="2" t="s">
        <v>3</v>
      </c>
      <c r="B821" s="2"/>
      <c r="C821" s="6">
        <v>61</v>
      </c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2.75">
      <c r="A822" s="2" t="s">
        <v>4</v>
      </c>
      <c r="B822" s="6"/>
      <c r="C822" s="6">
        <v>3608.68</v>
      </c>
      <c r="D822" s="6"/>
      <c r="E822" s="6"/>
      <c r="F822" s="6"/>
      <c r="G822" s="2"/>
      <c r="H822" s="2"/>
      <c r="I822" s="2"/>
      <c r="J822" s="2"/>
      <c r="K822" s="2">
        <v>3640.11</v>
      </c>
      <c r="L822" s="2"/>
      <c r="M822" s="2"/>
    </row>
    <row r="823" spans="1:13" ht="21.75">
      <c r="A823" s="35" t="s">
        <v>6</v>
      </c>
      <c r="B823" s="11" t="s">
        <v>40</v>
      </c>
      <c r="C823" s="2" t="s">
        <v>22</v>
      </c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22.5">
      <c r="A824" s="40" t="s">
        <v>7</v>
      </c>
      <c r="B824" s="3"/>
      <c r="C824" s="6"/>
      <c r="D824" s="6"/>
      <c r="E824" s="8">
        <f>G824+I824+K824+M824</f>
        <v>386868.42999999993</v>
      </c>
      <c r="F824" s="2"/>
      <c r="G824" s="2">
        <v>96359.33</v>
      </c>
      <c r="H824" s="2"/>
      <c r="I824" s="2">
        <v>92077.45</v>
      </c>
      <c r="J824" s="2"/>
      <c r="K824" s="2">
        <v>94881.43</v>
      </c>
      <c r="L824" s="2"/>
      <c r="M824" s="2">
        <v>103550.22</v>
      </c>
    </row>
    <row r="825" spans="1:13" ht="12.75">
      <c r="A825" s="41" t="s">
        <v>8</v>
      </c>
      <c r="B825" s="3"/>
      <c r="C825" s="6"/>
      <c r="D825" s="6"/>
      <c r="E825" s="8">
        <f aca="true" t="shared" si="29" ref="E825:E877">G825+I825+K825+M825</f>
        <v>54822.479999999996</v>
      </c>
      <c r="F825" s="2"/>
      <c r="G825" s="2">
        <v>6768.21</v>
      </c>
      <c r="H825" s="2"/>
      <c r="I825" s="2">
        <v>13611.62</v>
      </c>
      <c r="J825" s="2"/>
      <c r="K825" s="2">
        <v>27448.84</v>
      </c>
      <c r="L825" s="2"/>
      <c r="M825" s="2">
        <v>6993.81</v>
      </c>
    </row>
    <row r="826" spans="1:13" ht="12.75">
      <c r="A826" s="41" t="s">
        <v>9</v>
      </c>
      <c r="B826" s="3"/>
      <c r="C826" s="6"/>
      <c r="D826" s="6"/>
      <c r="E826" s="8">
        <f t="shared" si="29"/>
        <v>0</v>
      </c>
      <c r="F826" s="2"/>
      <c r="G826" s="2"/>
      <c r="H826" s="2"/>
      <c r="I826" s="2"/>
      <c r="J826" s="2"/>
      <c r="K826" s="2"/>
      <c r="L826" s="2"/>
      <c r="M826" s="2"/>
    </row>
    <row r="827" spans="1:13" ht="12.75">
      <c r="A827" s="2" t="s">
        <v>10</v>
      </c>
      <c r="B827" s="42"/>
      <c r="C827" s="11"/>
      <c r="D827" s="11"/>
      <c r="E827" s="38">
        <f t="shared" si="29"/>
        <v>441690.91000000003</v>
      </c>
      <c r="F827" s="37"/>
      <c r="G827" s="37">
        <f>SUM(G824:G826)</f>
        <v>103127.54000000001</v>
      </c>
      <c r="H827" s="37"/>
      <c r="I827" s="37">
        <f>SUM(I824:I826)</f>
        <v>105689.06999999999</v>
      </c>
      <c r="J827" s="37"/>
      <c r="K827" s="37">
        <f>SUM(K824:K826)</f>
        <v>122330.26999999999</v>
      </c>
      <c r="L827" s="37"/>
      <c r="M827" s="37">
        <f>SUM(M824:M826)</f>
        <v>110544.03</v>
      </c>
    </row>
    <row r="828" spans="1:13" ht="21.75">
      <c r="A828" s="35" t="s">
        <v>82</v>
      </c>
      <c r="B828" s="42"/>
      <c r="C828" s="2"/>
      <c r="D828" s="2"/>
      <c r="E828" s="7">
        <f t="shared" si="29"/>
        <v>0</v>
      </c>
      <c r="F828" s="2"/>
      <c r="G828" s="2"/>
      <c r="H828" s="2"/>
      <c r="I828" s="2"/>
      <c r="J828" s="2"/>
      <c r="K828" s="2"/>
      <c r="L828" s="2"/>
      <c r="M828" s="2"/>
    </row>
    <row r="829" spans="1:13" ht="12.75">
      <c r="A829" s="43" t="s">
        <v>11</v>
      </c>
      <c r="B829" s="44"/>
      <c r="C829" s="45"/>
      <c r="D829" s="45"/>
      <c r="E829" s="7">
        <f t="shared" si="29"/>
        <v>118188.4912808</v>
      </c>
      <c r="F829" s="45"/>
      <c r="G829" s="7">
        <f>7.99407*C822</f>
        <v>28848.0405276</v>
      </c>
      <c r="H829" s="2"/>
      <c r="I829" s="7">
        <f>9.57707*C822</f>
        <v>34560.5809676</v>
      </c>
      <c r="J829" s="2"/>
      <c r="K829" s="7">
        <f>7.32829*K822</f>
        <v>26675.7817119</v>
      </c>
      <c r="L829" s="2"/>
      <c r="M829" s="7">
        <f>7.72067*K822</f>
        <v>28104.0880737</v>
      </c>
    </row>
    <row r="830" spans="1:13" ht="12.75">
      <c r="A830" s="43" t="s">
        <v>12</v>
      </c>
      <c r="B830" s="46"/>
      <c r="C830" s="7"/>
      <c r="D830" s="7"/>
      <c r="E830" s="7">
        <f t="shared" si="29"/>
        <v>0</v>
      </c>
      <c r="F830" s="7"/>
      <c r="G830" s="7"/>
      <c r="H830" s="2"/>
      <c r="I830" s="7"/>
      <c r="J830" s="2"/>
      <c r="K830" s="7"/>
      <c r="L830" s="2"/>
      <c r="M830" s="7"/>
    </row>
    <row r="831" spans="1:13" ht="12.75">
      <c r="A831" s="41" t="s">
        <v>13</v>
      </c>
      <c r="B831" s="46"/>
      <c r="C831" s="7"/>
      <c r="D831" s="7"/>
      <c r="E831" s="7">
        <f t="shared" si="29"/>
        <v>150382.9548727</v>
      </c>
      <c r="F831" s="7"/>
      <c r="G831" s="7">
        <f>G832+G834+G835+G836+G838+G839+G840+G841+G842+G843+G844</f>
        <v>36002.5737156</v>
      </c>
      <c r="H831" s="2"/>
      <c r="I831" s="7">
        <f>I832+I834+I835+I836+I838+I839+I840+I841+I842+I843+I844</f>
        <v>39942.433233200005</v>
      </c>
      <c r="J831" s="2"/>
      <c r="K831" s="7">
        <f>K832+K834+K835+K836+K838+K839+K840+K841+K842+K843+K844</f>
        <v>39149.0216339</v>
      </c>
      <c r="L831" s="2"/>
      <c r="M831" s="7">
        <f>M832+M834+M835+M836+M837+M838+M839+M840+M841+M842+M843+M844</f>
        <v>35288.92629</v>
      </c>
    </row>
    <row r="832" spans="1:13" ht="12.75">
      <c r="A832" s="47" t="s">
        <v>14</v>
      </c>
      <c r="B832" s="46"/>
      <c r="C832" s="71"/>
      <c r="D832" s="7"/>
      <c r="E832" s="7">
        <f t="shared" si="29"/>
        <v>130448</v>
      </c>
      <c r="F832" s="7"/>
      <c r="G832" s="7">
        <v>33652</v>
      </c>
      <c r="H832" s="2"/>
      <c r="I832" s="7">
        <v>32584</v>
      </c>
      <c r="J832" s="2"/>
      <c r="K832" s="7">
        <v>34271</v>
      </c>
      <c r="L832" s="2"/>
      <c r="M832" s="7">
        <v>29941</v>
      </c>
    </row>
    <row r="833" spans="1:13" ht="12.75">
      <c r="A833" s="41" t="s">
        <v>19</v>
      </c>
      <c r="B833" s="46"/>
      <c r="C833" s="71"/>
      <c r="D833" s="7"/>
      <c r="E833" s="7">
        <f t="shared" si="29"/>
        <v>86434.15</v>
      </c>
      <c r="F833" s="7"/>
      <c r="G833" s="7">
        <v>21619.15</v>
      </c>
      <c r="H833" s="2"/>
      <c r="I833" s="7">
        <v>21619</v>
      </c>
      <c r="J833" s="2"/>
      <c r="K833" s="7">
        <v>21598</v>
      </c>
      <c r="L833" s="2"/>
      <c r="M833" s="7">
        <v>21598</v>
      </c>
    </row>
    <row r="834" spans="1:13" ht="12.75">
      <c r="A834" s="41" t="s">
        <v>18</v>
      </c>
      <c r="B834" s="46"/>
      <c r="C834" s="7"/>
      <c r="D834" s="7"/>
      <c r="E834" s="7">
        <f t="shared" si="29"/>
        <v>1340.69</v>
      </c>
      <c r="F834" s="7"/>
      <c r="G834" s="7">
        <v>210.23</v>
      </c>
      <c r="H834" s="2"/>
      <c r="I834" s="7">
        <v>295.87</v>
      </c>
      <c r="J834" s="2"/>
      <c r="K834" s="7">
        <v>400.65</v>
      </c>
      <c r="L834" s="2"/>
      <c r="M834" s="7">
        <v>433.94</v>
      </c>
    </row>
    <row r="835" spans="1:13" ht="12.75">
      <c r="A835" s="41" t="s">
        <v>53</v>
      </c>
      <c r="B835" s="46"/>
      <c r="C835" s="7"/>
      <c r="D835" s="7"/>
      <c r="E835" s="7">
        <f t="shared" si="29"/>
        <v>6969.8387897</v>
      </c>
      <c r="F835" s="7"/>
      <c r="G835" s="7">
        <f>0.54857*C822</f>
        <v>1979.6135875999998</v>
      </c>
      <c r="H835" s="2"/>
      <c r="I835" s="7">
        <f>0.53049*C822</f>
        <v>1914.3686532</v>
      </c>
      <c r="J835" s="2"/>
      <c r="K835" s="7">
        <f>0.60599*K822</f>
        <v>2205.8702589000004</v>
      </c>
      <c r="L835" s="2"/>
      <c r="M835" s="7">
        <f>0.239*K822</f>
        <v>869.9862899999999</v>
      </c>
    </row>
    <row r="836" spans="1:13" ht="12.75">
      <c r="A836" s="41" t="s">
        <v>148</v>
      </c>
      <c r="B836" s="46"/>
      <c r="C836" s="7"/>
      <c r="D836" s="7"/>
      <c r="E836" s="7">
        <f t="shared" si="29"/>
        <v>90</v>
      </c>
      <c r="F836" s="7"/>
      <c r="G836" s="7">
        <v>90</v>
      </c>
      <c r="H836" s="2"/>
      <c r="I836" s="7"/>
      <c r="J836" s="2"/>
      <c r="K836" s="7"/>
      <c r="L836" s="2"/>
      <c r="M836" s="7"/>
    </row>
    <row r="837" spans="1:13" ht="12.75">
      <c r="A837" s="41" t="s">
        <v>248</v>
      </c>
      <c r="B837" s="46"/>
      <c r="C837" s="7"/>
      <c r="D837" s="7"/>
      <c r="E837" s="7"/>
      <c r="F837" s="7"/>
      <c r="G837" s="7"/>
      <c r="H837" s="2"/>
      <c r="I837" s="7"/>
      <c r="J837" s="2"/>
      <c r="K837" s="7">
        <v>3480.4</v>
      </c>
      <c r="L837" s="2"/>
      <c r="M837" s="7"/>
    </row>
    <row r="838" spans="1:13" ht="12.75">
      <c r="A838" s="41" t="s">
        <v>27</v>
      </c>
      <c r="B838" s="46"/>
      <c r="C838" s="7"/>
      <c r="D838" s="7"/>
      <c r="E838" s="7">
        <f t="shared" si="29"/>
        <v>770</v>
      </c>
      <c r="F838" s="7"/>
      <c r="G838" s="7"/>
      <c r="H838" s="2"/>
      <c r="I838" s="7">
        <v>770</v>
      </c>
      <c r="J838" s="2"/>
      <c r="K838" s="7"/>
      <c r="L838" s="2"/>
      <c r="M838" s="7"/>
    </row>
    <row r="839" spans="1:13" ht="12.75">
      <c r="A839" s="41" t="s">
        <v>36</v>
      </c>
      <c r="B839" s="46"/>
      <c r="C839" s="7"/>
      <c r="D839" s="7"/>
      <c r="E839" s="7">
        <f t="shared" si="29"/>
        <v>8175</v>
      </c>
      <c r="F839" s="7"/>
      <c r="G839" s="7"/>
      <c r="H839" s="2" t="s">
        <v>224</v>
      </c>
      <c r="I839" s="7">
        <v>4131</v>
      </c>
      <c r="J839" s="2"/>
      <c r="K839" s="7"/>
      <c r="L839" s="2" t="s">
        <v>401</v>
      </c>
      <c r="M839" s="7">
        <v>4044</v>
      </c>
    </row>
    <row r="840" spans="1:13" ht="12.75">
      <c r="A840" s="41" t="s">
        <v>303</v>
      </c>
      <c r="B840" s="46"/>
      <c r="C840" s="7"/>
      <c r="D840" s="7"/>
      <c r="E840" s="7">
        <f t="shared" si="29"/>
        <v>2226</v>
      </c>
      <c r="F840" s="7"/>
      <c r="G840" s="7"/>
      <c r="H840" s="2"/>
      <c r="I840" s="7"/>
      <c r="J840" s="2"/>
      <c r="K840" s="7">
        <v>2226</v>
      </c>
      <c r="L840" s="2"/>
      <c r="M840" s="7"/>
    </row>
    <row r="841" spans="1:13" ht="12.75">
      <c r="A841" s="41" t="s">
        <v>43</v>
      </c>
      <c r="B841" s="46"/>
      <c r="C841" s="7"/>
      <c r="D841" s="7"/>
      <c r="E841" s="7">
        <f t="shared" si="29"/>
        <v>0</v>
      </c>
      <c r="F841" s="7"/>
      <c r="G841" s="7"/>
      <c r="H841" s="2"/>
      <c r="I841" s="7"/>
      <c r="J841" s="2"/>
      <c r="K841" s="7"/>
      <c r="L841" s="2"/>
      <c r="M841" s="7"/>
    </row>
    <row r="842" spans="1:13" ht="12.75">
      <c r="A842" s="41" t="s">
        <v>30</v>
      </c>
      <c r="B842" s="46"/>
      <c r="C842" s="7"/>
      <c r="D842" s="7"/>
      <c r="E842" s="7">
        <f t="shared" si="29"/>
        <v>0</v>
      </c>
      <c r="F842" s="7"/>
      <c r="G842" s="7"/>
      <c r="H842" s="2"/>
      <c r="I842" s="7"/>
      <c r="J842" s="2"/>
      <c r="K842" s="7"/>
      <c r="L842" s="2"/>
      <c r="M842" s="7"/>
    </row>
    <row r="843" spans="1:13" ht="12.75">
      <c r="A843" s="41" t="s">
        <v>54</v>
      </c>
      <c r="B843" s="46"/>
      <c r="C843" s="7"/>
      <c r="D843" s="7"/>
      <c r="E843" s="7">
        <f t="shared" si="29"/>
        <v>70.730128</v>
      </c>
      <c r="F843" s="7"/>
      <c r="G843" s="7">
        <f>0.0196*C822</f>
        <v>70.730128</v>
      </c>
      <c r="H843" s="2"/>
      <c r="I843" s="7"/>
      <c r="J843" s="2"/>
      <c r="K843" s="7"/>
      <c r="L843" s="2"/>
      <c r="M843" s="7"/>
    </row>
    <row r="844" spans="1:13" ht="13.5" thickBot="1">
      <c r="A844" s="48" t="s">
        <v>55</v>
      </c>
      <c r="B844" s="49"/>
      <c r="C844" s="50"/>
      <c r="D844" s="50"/>
      <c r="E844" s="50">
        <f t="shared" si="29"/>
        <v>292.695955</v>
      </c>
      <c r="F844" s="50"/>
      <c r="G844" s="50"/>
      <c r="H844" s="22"/>
      <c r="I844" s="50">
        <f>0.0685*C822</f>
        <v>247.19458</v>
      </c>
      <c r="J844" s="22"/>
      <c r="K844" s="50">
        <f>0.0125*K822</f>
        <v>45.501375</v>
      </c>
      <c r="L844" s="22"/>
      <c r="M844" s="50"/>
    </row>
    <row r="845" spans="1:13" ht="13.5" thickBot="1">
      <c r="A845" s="51" t="s">
        <v>76</v>
      </c>
      <c r="B845" s="81"/>
      <c r="C845" s="63"/>
      <c r="D845" s="63"/>
      <c r="E845" s="63">
        <f t="shared" si="29"/>
        <v>268571.4461535</v>
      </c>
      <c r="F845" s="63"/>
      <c r="G845" s="63">
        <f>G829+G831</f>
        <v>64850.614243200005</v>
      </c>
      <c r="H845" s="26"/>
      <c r="I845" s="63">
        <f>I829+I831</f>
        <v>74503.01420080001</v>
      </c>
      <c r="J845" s="26"/>
      <c r="K845" s="63">
        <f>K829+K831</f>
        <v>65824.8033458</v>
      </c>
      <c r="L845" s="26"/>
      <c r="M845" s="29">
        <f>M829+M831</f>
        <v>63393.0143637</v>
      </c>
    </row>
    <row r="846" spans="1:13" ht="21.75">
      <c r="A846" s="54" t="s">
        <v>15</v>
      </c>
      <c r="B846" s="55"/>
      <c r="C846" s="66"/>
      <c r="D846" s="66"/>
      <c r="E846" s="56">
        <f t="shared" si="29"/>
        <v>0</v>
      </c>
      <c r="F846" s="66"/>
      <c r="G846" s="56"/>
      <c r="H846" s="74"/>
      <c r="I846" s="56"/>
      <c r="J846" s="74"/>
      <c r="K846" s="56"/>
      <c r="L846" s="74"/>
      <c r="M846" s="56"/>
    </row>
    <row r="847" spans="1:13" ht="12.75">
      <c r="A847" s="41" t="s">
        <v>17</v>
      </c>
      <c r="B847" s="46"/>
      <c r="C847" s="7"/>
      <c r="D847" s="7"/>
      <c r="E847" s="7">
        <f t="shared" si="29"/>
        <v>102479.0778157</v>
      </c>
      <c r="F847" s="7"/>
      <c r="G847" s="7">
        <f>6.73321*C822</f>
        <v>24298.000262799997</v>
      </c>
      <c r="H847" s="2"/>
      <c r="I847" s="7">
        <f>7.02207*C822</f>
        <v>25340.4035676</v>
      </c>
      <c r="J847" s="2"/>
      <c r="K847" s="7">
        <f>7.2754*K822</f>
        <v>26483.256294000003</v>
      </c>
      <c r="L847" s="2"/>
      <c r="M847" s="7">
        <f>7.24083*K822</f>
        <v>26357.4176913</v>
      </c>
    </row>
    <row r="848" spans="1:13" ht="12.75">
      <c r="A848" s="41" t="s">
        <v>34</v>
      </c>
      <c r="B848" s="46"/>
      <c r="C848" s="71"/>
      <c r="D848" s="7"/>
      <c r="E848" s="7">
        <f t="shared" si="29"/>
        <v>0</v>
      </c>
      <c r="F848" s="7"/>
      <c r="G848" s="7"/>
      <c r="H848" s="2"/>
      <c r="I848" s="7"/>
      <c r="J848" s="2"/>
      <c r="K848" s="7"/>
      <c r="L848" s="2"/>
      <c r="M848" s="7"/>
    </row>
    <row r="849" spans="1:13" ht="12.75">
      <c r="A849" s="41" t="s">
        <v>67</v>
      </c>
      <c r="B849" s="46"/>
      <c r="C849" s="7"/>
      <c r="D849" s="7"/>
      <c r="E849" s="7">
        <f t="shared" si="29"/>
        <v>10231.6</v>
      </c>
      <c r="F849" s="7"/>
      <c r="G849" s="7">
        <v>855</v>
      </c>
      <c r="H849" s="2"/>
      <c r="I849" s="7">
        <v>6596</v>
      </c>
      <c r="J849" s="2"/>
      <c r="K849" s="7">
        <v>1970</v>
      </c>
      <c r="L849" s="2"/>
      <c r="M849" s="7">
        <v>810.6</v>
      </c>
    </row>
    <row r="850" spans="1:13" ht="12.75">
      <c r="A850" s="41" t="s">
        <v>68</v>
      </c>
      <c r="B850" s="46"/>
      <c r="C850" s="7"/>
      <c r="D850" s="7"/>
      <c r="E850" s="7">
        <f t="shared" si="29"/>
        <v>0</v>
      </c>
      <c r="F850" s="7"/>
      <c r="G850" s="7"/>
      <c r="H850" s="2"/>
      <c r="I850" s="7"/>
      <c r="J850" s="2"/>
      <c r="K850" s="7"/>
      <c r="L850" s="2"/>
      <c r="M850" s="7"/>
    </row>
    <row r="851" spans="1:13" ht="12.75">
      <c r="A851" s="41" t="s">
        <v>69</v>
      </c>
      <c r="B851" s="46"/>
      <c r="C851" s="7"/>
      <c r="D851" s="7"/>
      <c r="E851" s="7">
        <f t="shared" si="29"/>
        <v>1597</v>
      </c>
      <c r="F851" s="7"/>
      <c r="G851" s="7"/>
      <c r="H851" s="2"/>
      <c r="I851" s="7"/>
      <c r="J851" s="2"/>
      <c r="K851" s="7">
        <v>1597</v>
      </c>
      <c r="L851" s="2"/>
      <c r="M851" s="7"/>
    </row>
    <row r="852" spans="1:13" ht="12.75">
      <c r="A852" s="41" t="s">
        <v>26</v>
      </c>
      <c r="B852" s="46"/>
      <c r="C852" s="7"/>
      <c r="D852" s="7"/>
      <c r="E852" s="7">
        <f t="shared" si="29"/>
        <v>6080</v>
      </c>
      <c r="F852" s="7"/>
      <c r="G852" s="7"/>
      <c r="H852" s="2"/>
      <c r="I852" s="7">
        <v>4640</v>
      </c>
      <c r="J852" s="2"/>
      <c r="K852" s="7"/>
      <c r="L852" s="2"/>
      <c r="M852" s="7">
        <v>1440</v>
      </c>
    </row>
    <row r="853" spans="1:13" ht="12.75">
      <c r="A853" s="41" t="s">
        <v>28</v>
      </c>
      <c r="B853" s="46"/>
      <c r="C853" s="7"/>
      <c r="D853" s="7"/>
      <c r="E853" s="7">
        <f t="shared" si="29"/>
        <v>2971.5</v>
      </c>
      <c r="F853" s="7"/>
      <c r="G853" s="7"/>
      <c r="H853" s="2"/>
      <c r="I853" s="7"/>
      <c r="J853" s="2"/>
      <c r="K853" s="7"/>
      <c r="L853" s="2"/>
      <c r="M853" s="7">
        <v>2971.5</v>
      </c>
    </row>
    <row r="854" spans="1:13" ht="12.75">
      <c r="A854" s="41" t="s">
        <v>226</v>
      </c>
      <c r="B854" s="46"/>
      <c r="C854" s="7"/>
      <c r="D854" s="7"/>
      <c r="E854" s="7">
        <f t="shared" si="29"/>
        <v>2595</v>
      </c>
      <c r="F854" s="7"/>
      <c r="G854" s="7"/>
      <c r="H854" s="2"/>
      <c r="I854" s="7">
        <v>2595</v>
      </c>
      <c r="J854" s="2"/>
      <c r="K854" s="7"/>
      <c r="L854" s="2"/>
      <c r="M854" s="7"/>
    </row>
    <row r="855" spans="1:13" ht="12.75">
      <c r="A855" s="41" t="s">
        <v>227</v>
      </c>
      <c r="B855" s="46"/>
      <c r="C855" s="7"/>
      <c r="D855" s="7"/>
      <c r="E855" s="7">
        <f t="shared" si="29"/>
        <v>1070</v>
      </c>
      <c r="F855" s="7"/>
      <c r="G855" s="7"/>
      <c r="H855" s="2"/>
      <c r="I855" s="7">
        <v>1070</v>
      </c>
      <c r="J855" s="2"/>
      <c r="K855" s="7"/>
      <c r="L855" s="2"/>
      <c r="M855" s="7"/>
    </row>
    <row r="856" spans="1:13" ht="12.75">
      <c r="A856" s="41" t="s">
        <v>62</v>
      </c>
      <c r="B856" s="46"/>
      <c r="C856" s="7"/>
      <c r="D856" s="7"/>
      <c r="E856" s="7">
        <f t="shared" si="29"/>
        <v>0</v>
      </c>
      <c r="F856" s="7"/>
      <c r="G856" s="7"/>
      <c r="H856" s="2"/>
      <c r="I856" s="7"/>
      <c r="J856" s="2"/>
      <c r="K856" s="7"/>
      <c r="L856" s="2"/>
      <c r="M856" s="7"/>
    </row>
    <row r="857" spans="1:13" ht="12.75">
      <c r="A857" s="41" t="s">
        <v>63</v>
      </c>
      <c r="B857" s="46"/>
      <c r="C857" s="7"/>
      <c r="D857" s="7"/>
      <c r="E857" s="7">
        <f t="shared" si="29"/>
        <v>0</v>
      </c>
      <c r="F857" s="7"/>
      <c r="G857" s="7"/>
      <c r="H857" s="2"/>
      <c r="I857" s="7"/>
      <c r="J857" s="2"/>
      <c r="K857" s="7"/>
      <c r="L857" s="2"/>
      <c r="M857" s="7"/>
    </row>
    <row r="858" spans="1:13" ht="12.75">
      <c r="A858" s="41" t="s">
        <v>66</v>
      </c>
      <c r="B858" s="46"/>
      <c r="C858" s="7"/>
      <c r="D858" s="7"/>
      <c r="E858" s="7">
        <f t="shared" si="29"/>
        <v>0</v>
      </c>
      <c r="F858" s="7"/>
      <c r="G858" s="7"/>
      <c r="H858" s="2"/>
      <c r="I858" s="7"/>
      <c r="J858" s="2"/>
      <c r="K858" s="7"/>
      <c r="L858" s="2"/>
      <c r="M858" s="7"/>
    </row>
    <row r="859" spans="1:13" ht="12.75">
      <c r="A859" s="41" t="s">
        <v>51</v>
      </c>
      <c r="B859" s="46"/>
      <c r="C859" s="7"/>
      <c r="D859" s="7"/>
      <c r="E859" s="7">
        <f t="shared" si="29"/>
        <v>2511</v>
      </c>
      <c r="F859" s="7"/>
      <c r="G859" s="7"/>
      <c r="H859" s="2"/>
      <c r="I859" s="7">
        <v>2511</v>
      </c>
      <c r="J859" s="2"/>
      <c r="K859" s="7"/>
      <c r="L859" s="2"/>
      <c r="M859" s="7"/>
    </row>
    <row r="860" spans="1:13" ht="12.75">
      <c r="A860" s="58" t="s">
        <v>52</v>
      </c>
      <c r="B860" s="46"/>
      <c r="C860" s="7"/>
      <c r="D860" s="7"/>
      <c r="E860" s="7">
        <f t="shared" si="29"/>
        <v>0</v>
      </c>
      <c r="F860" s="7"/>
      <c r="G860" s="7"/>
      <c r="H860" s="2"/>
      <c r="I860" s="7"/>
      <c r="J860" s="2"/>
      <c r="K860" s="7"/>
      <c r="L860" s="2"/>
      <c r="M860" s="7"/>
    </row>
    <row r="861" spans="1:13" ht="12.75">
      <c r="A861" s="41" t="s">
        <v>412</v>
      </c>
      <c r="B861" s="46"/>
      <c r="C861" s="7"/>
      <c r="D861" s="7"/>
      <c r="E861" s="7">
        <f t="shared" si="29"/>
        <v>6500</v>
      </c>
      <c r="F861" s="7"/>
      <c r="G861" s="7"/>
      <c r="H861" s="2"/>
      <c r="I861" s="7"/>
      <c r="J861" s="2"/>
      <c r="K861" s="7"/>
      <c r="L861" s="2"/>
      <c r="M861" s="7">
        <v>6500</v>
      </c>
    </row>
    <row r="862" spans="1:13" ht="12.75">
      <c r="A862" s="41" t="s">
        <v>410</v>
      </c>
      <c r="B862" s="46"/>
      <c r="C862" s="7"/>
      <c r="D862" s="7"/>
      <c r="E862" s="7">
        <f t="shared" si="29"/>
        <v>1100</v>
      </c>
      <c r="F862" s="7"/>
      <c r="G862" s="7"/>
      <c r="H862" s="2"/>
      <c r="I862" s="7"/>
      <c r="J862" s="2"/>
      <c r="K862" s="7"/>
      <c r="L862" s="2"/>
      <c r="M862" s="7">
        <v>1100</v>
      </c>
    </row>
    <row r="863" spans="1:13" ht="12.75">
      <c r="A863" s="41" t="s">
        <v>57</v>
      </c>
      <c r="B863" s="46"/>
      <c r="C863" s="7"/>
      <c r="D863" s="7"/>
      <c r="E863" s="7">
        <f t="shared" si="29"/>
        <v>25.621628</v>
      </c>
      <c r="F863" s="7"/>
      <c r="G863" s="7"/>
      <c r="H863" s="2"/>
      <c r="I863" s="7">
        <f>0.0071*C822</f>
        <v>25.621628</v>
      </c>
      <c r="J863" s="2"/>
      <c r="K863" s="7"/>
      <c r="L863" s="2"/>
      <c r="M863" s="7"/>
    </row>
    <row r="864" spans="1:13" ht="12.75">
      <c r="A864" s="41" t="s">
        <v>33</v>
      </c>
      <c r="B864" s="46"/>
      <c r="C864" s="7"/>
      <c r="D864" s="7"/>
      <c r="E864" s="7">
        <f t="shared" si="29"/>
        <v>3795.77</v>
      </c>
      <c r="F864" s="15"/>
      <c r="G864" s="7"/>
      <c r="H864" s="2"/>
      <c r="I864" s="7"/>
      <c r="J864" s="2"/>
      <c r="K864" s="7">
        <v>1871</v>
      </c>
      <c r="L864" s="2"/>
      <c r="M864" s="7">
        <v>1924.77</v>
      </c>
    </row>
    <row r="865" spans="1:13" ht="12.75">
      <c r="A865" s="41" t="s">
        <v>50</v>
      </c>
      <c r="B865" s="46"/>
      <c r="C865" s="7"/>
      <c r="D865" s="7"/>
      <c r="E865" s="7">
        <f t="shared" si="29"/>
        <v>3965.0648530000003</v>
      </c>
      <c r="F865" s="7"/>
      <c r="G865" s="7">
        <f>0.2455*C822</f>
        <v>885.93094</v>
      </c>
      <c r="H865" s="2"/>
      <c r="I865" s="7">
        <f>0.5802*C822</f>
        <v>2093.756136</v>
      </c>
      <c r="J865" s="2"/>
      <c r="K865" s="7">
        <f>0.1437*K822</f>
        <v>523.083807</v>
      </c>
      <c r="L865" s="2"/>
      <c r="M865" s="7">
        <f>0.127*K822</f>
        <v>462.29397</v>
      </c>
    </row>
    <row r="866" spans="1:13" ht="13.5" thickBot="1">
      <c r="A866" s="48" t="s">
        <v>54</v>
      </c>
      <c r="B866" s="49"/>
      <c r="C866" s="50"/>
      <c r="D866" s="50"/>
      <c r="E866" s="50">
        <f t="shared" si="29"/>
        <v>111.870234</v>
      </c>
      <c r="F866" s="50"/>
      <c r="G866" s="50"/>
      <c r="H866" s="22"/>
      <c r="I866" s="50">
        <f>0.0078*C822</f>
        <v>28.147703999999997</v>
      </c>
      <c r="J866" s="22"/>
      <c r="K866" s="50">
        <f>0.011*K822</f>
        <v>40.04121</v>
      </c>
      <c r="L866" s="22"/>
      <c r="M866" s="50">
        <f>0.012*K822</f>
        <v>43.68132</v>
      </c>
    </row>
    <row r="867" spans="1:13" ht="13.5" thickBot="1">
      <c r="A867" s="59" t="s">
        <v>10</v>
      </c>
      <c r="B867" s="81"/>
      <c r="C867" s="63"/>
      <c r="D867" s="63"/>
      <c r="E867" s="63">
        <f t="shared" si="29"/>
        <v>145033.5045307</v>
      </c>
      <c r="F867" s="63"/>
      <c r="G867" s="63">
        <f>SUM(G847:G866)</f>
        <v>26038.931202799995</v>
      </c>
      <c r="H867" s="26"/>
      <c r="I867" s="63">
        <f>SUM(I847:I866)</f>
        <v>44899.9290356</v>
      </c>
      <c r="J867" s="26"/>
      <c r="K867" s="63">
        <f>SUM(K847:K866)</f>
        <v>32484.381311</v>
      </c>
      <c r="L867" s="26"/>
      <c r="M867" s="29">
        <f>SUM(M847:M866)</f>
        <v>41610.2629813</v>
      </c>
    </row>
    <row r="868" spans="1:13" ht="12.75">
      <c r="A868" s="60" t="s">
        <v>42</v>
      </c>
      <c r="B868" s="55"/>
      <c r="C868" s="66"/>
      <c r="D868" s="66"/>
      <c r="E868" s="56">
        <f t="shared" si="29"/>
        <v>0</v>
      </c>
      <c r="F868" s="66"/>
      <c r="G868" s="56"/>
      <c r="H868" s="74"/>
      <c r="I868" s="56"/>
      <c r="J868" s="74"/>
      <c r="K868" s="56"/>
      <c r="L868" s="74"/>
      <c r="M868" s="56"/>
    </row>
    <row r="869" spans="1:13" ht="12.75">
      <c r="A869" s="48" t="s">
        <v>404</v>
      </c>
      <c r="B869" s="55"/>
      <c r="C869" s="66"/>
      <c r="D869" s="66"/>
      <c r="E869" s="56">
        <f t="shared" si="29"/>
        <v>688.09</v>
      </c>
      <c r="F869" s="66"/>
      <c r="G869" s="56"/>
      <c r="H869" s="74"/>
      <c r="I869" s="56"/>
      <c r="J869" s="74"/>
      <c r="K869" s="56"/>
      <c r="L869" s="74"/>
      <c r="M869" s="56">
        <v>688.09</v>
      </c>
    </row>
    <row r="870" spans="1:13" ht="12.75">
      <c r="A870" s="48" t="s">
        <v>411</v>
      </c>
      <c r="B870" s="55"/>
      <c r="C870" s="66"/>
      <c r="D870" s="66"/>
      <c r="E870" s="56">
        <f t="shared" si="29"/>
        <v>443.7</v>
      </c>
      <c r="F870" s="66"/>
      <c r="G870" s="56"/>
      <c r="H870" s="74"/>
      <c r="I870" s="56"/>
      <c r="J870" s="74"/>
      <c r="K870" s="56"/>
      <c r="L870" s="74"/>
      <c r="M870" s="56">
        <v>443.7</v>
      </c>
    </row>
    <row r="871" spans="1:13" ht="12.75">
      <c r="A871" s="41" t="s">
        <v>56</v>
      </c>
      <c r="B871" s="46"/>
      <c r="C871" s="7"/>
      <c r="D871" s="7"/>
      <c r="E871" s="56">
        <f t="shared" si="29"/>
        <v>0</v>
      </c>
      <c r="F871" s="7"/>
      <c r="G871" s="7"/>
      <c r="H871" s="2"/>
      <c r="I871" s="7"/>
      <c r="J871" s="2"/>
      <c r="K871" s="7"/>
      <c r="L871" s="2"/>
      <c r="M871" s="7"/>
    </row>
    <row r="872" spans="1:13" ht="12.75">
      <c r="A872" s="41" t="s">
        <v>323</v>
      </c>
      <c r="B872" s="49"/>
      <c r="C872" s="50"/>
      <c r="D872" s="50"/>
      <c r="E872" s="56">
        <f t="shared" si="29"/>
        <v>80.24</v>
      </c>
      <c r="F872" s="50"/>
      <c r="G872" s="50"/>
      <c r="H872" s="22"/>
      <c r="I872" s="50"/>
      <c r="J872" s="22"/>
      <c r="K872" s="50"/>
      <c r="L872" s="22"/>
      <c r="M872" s="50">
        <v>80.24</v>
      </c>
    </row>
    <row r="873" spans="1:13" ht="12.75">
      <c r="A873" s="41" t="s">
        <v>375</v>
      </c>
      <c r="B873" s="49"/>
      <c r="C873" s="50"/>
      <c r="D873" s="50"/>
      <c r="E873" s="56">
        <f t="shared" si="29"/>
        <v>267.2</v>
      </c>
      <c r="F873" s="50"/>
      <c r="G873" s="50"/>
      <c r="H873" s="22"/>
      <c r="I873" s="50"/>
      <c r="J873" s="22"/>
      <c r="K873" s="50"/>
      <c r="L873" s="22"/>
      <c r="M873" s="50">
        <v>267.2</v>
      </c>
    </row>
    <row r="874" spans="1:13" ht="13.5" thickBot="1">
      <c r="A874" s="48" t="s">
        <v>16</v>
      </c>
      <c r="B874" s="49"/>
      <c r="C874" s="50"/>
      <c r="D874" s="50"/>
      <c r="E874" s="56">
        <f t="shared" si="29"/>
        <v>129.6722</v>
      </c>
      <c r="F874" s="50"/>
      <c r="G874" s="50">
        <f>0.0089*C822</f>
        <v>32.117252</v>
      </c>
      <c r="H874" s="22"/>
      <c r="I874" s="50"/>
      <c r="J874" s="22"/>
      <c r="K874" s="50"/>
      <c r="L874" s="22"/>
      <c r="M874" s="50">
        <f>0.0268*K822</f>
        <v>97.55494800000001</v>
      </c>
    </row>
    <row r="875" spans="1:13" ht="13.5" thickBot="1">
      <c r="A875" s="62" t="s">
        <v>10</v>
      </c>
      <c r="B875" s="81"/>
      <c r="C875" s="63"/>
      <c r="D875" s="63"/>
      <c r="E875" s="63">
        <f t="shared" si="29"/>
        <v>1608.9022</v>
      </c>
      <c r="F875" s="63"/>
      <c r="G875" s="63">
        <f>SUM(G871:G874)</f>
        <v>32.117252</v>
      </c>
      <c r="H875" s="26"/>
      <c r="I875" s="63">
        <v>0</v>
      </c>
      <c r="J875" s="26"/>
      <c r="K875" s="63"/>
      <c r="L875" s="26"/>
      <c r="M875" s="29">
        <f>SUM(M869:M874)</f>
        <v>1576.784948</v>
      </c>
    </row>
    <row r="876" spans="1:13" ht="13.5" thickBot="1">
      <c r="A876" s="64" t="s">
        <v>29</v>
      </c>
      <c r="B876" s="81"/>
      <c r="C876" s="63"/>
      <c r="D876" s="63"/>
      <c r="E876" s="63">
        <f t="shared" si="29"/>
        <v>8313.599596</v>
      </c>
      <c r="F876" s="63"/>
      <c r="G876" s="63">
        <f>0.4236*C822</f>
        <v>1528.6368479999999</v>
      </c>
      <c r="H876" s="26"/>
      <c r="I876" s="63">
        <f>0.5971*C822</f>
        <v>2154.742828</v>
      </c>
      <c r="J876" s="26"/>
      <c r="K876" s="63"/>
      <c r="L876" s="26"/>
      <c r="M876" s="29">
        <f>1.272*K822</f>
        <v>4630.2199200000005</v>
      </c>
    </row>
    <row r="877" spans="1:13" ht="21.75">
      <c r="A877" s="65" t="s">
        <v>83</v>
      </c>
      <c r="B877" s="61"/>
      <c r="C877" s="56"/>
      <c r="D877" s="56"/>
      <c r="E877" s="56">
        <f t="shared" si="29"/>
        <v>423527.4524802</v>
      </c>
      <c r="F877" s="56"/>
      <c r="G877" s="56">
        <f>G845+G867+G875+G876</f>
        <v>92450.299546</v>
      </c>
      <c r="H877" s="74"/>
      <c r="I877" s="56">
        <f>I845+I867+I875+I876</f>
        <v>121557.68606440001</v>
      </c>
      <c r="J877" s="74"/>
      <c r="K877" s="56">
        <f>K845+K867+K875+K876</f>
        <v>98309.1846568</v>
      </c>
      <c r="L877" s="74"/>
      <c r="M877" s="56">
        <f>M845+M867+M875+M876</f>
        <v>111210.28221300001</v>
      </c>
    </row>
    <row r="878" spans="1:13" ht="33.75">
      <c r="A878" s="67" t="s">
        <v>84</v>
      </c>
      <c r="B878" s="46"/>
      <c r="C878" s="7"/>
      <c r="D878" s="7"/>
      <c r="E878" s="8">
        <f>E877/12/C822</f>
        <v>9.780294837267366</v>
      </c>
      <c r="F878" s="7"/>
      <c r="G878" s="8">
        <f>G877/3/C822</f>
        <v>8.539622941167778</v>
      </c>
      <c r="H878" s="2"/>
      <c r="I878" s="8">
        <f>I877/3/C822</f>
        <v>11.228268698840944</v>
      </c>
      <c r="J878" s="2"/>
      <c r="K878" s="8">
        <f>K877/3/K822</f>
        <v>9.002400537053367</v>
      </c>
      <c r="L878" s="2"/>
      <c r="M878" s="8">
        <f>M877/3/K822</f>
        <v>10.183784026032182</v>
      </c>
    </row>
    <row r="879" spans="1:13" ht="12.75">
      <c r="A879" s="69" t="s">
        <v>20</v>
      </c>
      <c r="B879" s="44"/>
      <c r="C879" s="45"/>
      <c r="D879" s="45"/>
      <c r="E879" s="7">
        <f>E827-E877</f>
        <v>18163.457519800053</v>
      </c>
      <c r="F879" s="45"/>
      <c r="G879" s="7">
        <f>G827-G877</f>
        <v>10677.240454000013</v>
      </c>
      <c r="H879" s="2"/>
      <c r="I879" s="7">
        <f>I827-I877+G879</f>
        <v>-5191.375610400006</v>
      </c>
      <c r="J879" s="2"/>
      <c r="K879" s="7">
        <f>K827-K877-5191</f>
        <v>18830.085343199986</v>
      </c>
      <c r="L879" s="2"/>
      <c r="M879" s="7">
        <f>M827-M877+K879</f>
        <v>18163.83313019997</v>
      </c>
    </row>
    <row r="880" spans="1:13" ht="12.75">
      <c r="A880" s="14" t="s">
        <v>24</v>
      </c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1:13" ht="12.75">
      <c r="A881" s="14" t="s">
        <v>35</v>
      </c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1:13" ht="12.75">
      <c r="A882" s="14" t="s">
        <v>25</v>
      </c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1:13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1:13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1:13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1:13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1:13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1:13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1:13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1:13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1:13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1:13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1:13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1:13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1:13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1:13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1:13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1:13" ht="2.2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1:13" ht="12.75" hidden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1:13" ht="12.75" hidden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1:13" ht="12.75" hidden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1:13" ht="12.75" hidden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1:13" ht="12.75" hidden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1:13" ht="12.75" hidden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1:13" ht="12.75" hidden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1:13" ht="12.75">
      <c r="A906" s="31" t="s">
        <v>21</v>
      </c>
      <c r="B906" s="31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1:13" ht="12.75">
      <c r="A907" s="14" t="s">
        <v>31</v>
      </c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1:13" ht="12.75">
      <c r="A908" s="14" t="s">
        <v>41</v>
      </c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1:13" ht="12.75">
      <c r="A909" s="14" t="s">
        <v>110</v>
      </c>
      <c r="B909" s="14"/>
      <c r="C909" s="14"/>
      <c r="D909" s="14"/>
      <c r="E909" s="14" t="s">
        <v>32</v>
      </c>
      <c r="F909" s="14"/>
      <c r="G909" s="14"/>
      <c r="H909" s="14"/>
      <c r="I909" s="14"/>
      <c r="J909" s="14"/>
      <c r="K909" s="14"/>
      <c r="L909" s="14"/>
      <c r="M909" s="14"/>
    </row>
    <row r="910" spans="1:13" ht="12.75" customHeight="1">
      <c r="A910" s="6" t="s">
        <v>0</v>
      </c>
      <c r="B910" s="151" t="s">
        <v>38</v>
      </c>
      <c r="C910" s="152"/>
      <c r="D910" s="149" t="s">
        <v>39</v>
      </c>
      <c r="E910" s="150"/>
      <c r="F910" s="149" t="s">
        <v>96</v>
      </c>
      <c r="G910" s="150"/>
      <c r="H910" s="149" t="s">
        <v>97</v>
      </c>
      <c r="I910" s="150"/>
      <c r="J910" s="149" t="s">
        <v>98</v>
      </c>
      <c r="K910" s="150"/>
      <c r="L910" s="149" t="s">
        <v>99</v>
      </c>
      <c r="M910" s="150"/>
    </row>
    <row r="911" spans="1:13" ht="12.75">
      <c r="A911" s="11" t="s">
        <v>5</v>
      </c>
      <c r="B911" s="153"/>
      <c r="C911" s="154"/>
      <c r="D911" s="6" t="s">
        <v>40</v>
      </c>
      <c r="E911" s="6" t="s">
        <v>22</v>
      </c>
      <c r="F911" s="6" t="s">
        <v>40</v>
      </c>
      <c r="G911" s="13" t="s">
        <v>22</v>
      </c>
      <c r="H911" s="2"/>
      <c r="I911" s="2"/>
      <c r="J911" s="2"/>
      <c r="K911" s="2"/>
      <c r="L911" s="2"/>
      <c r="M911" s="2"/>
    </row>
    <row r="912" spans="1:13" ht="12.75">
      <c r="A912" s="2" t="s">
        <v>1</v>
      </c>
      <c r="B912" s="2"/>
      <c r="C912" s="6">
        <v>5</v>
      </c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2.75">
      <c r="A913" s="2" t="s">
        <v>2</v>
      </c>
      <c r="B913" s="2"/>
      <c r="C913" s="6">
        <v>2</v>
      </c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2.75">
      <c r="A914" s="2" t="s">
        <v>3</v>
      </c>
      <c r="B914" s="2"/>
      <c r="C914" s="6">
        <v>30</v>
      </c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2.75">
      <c r="A915" s="2" t="s">
        <v>4</v>
      </c>
      <c r="B915" s="6"/>
      <c r="C915" s="6">
        <v>1849.2</v>
      </c>
      <c r="D915" s="6"/>
      <c r="E915" s="6"/>
      <c r="F915" s="6"/>
      <c r="G915" s="2"/>
      <c r="H915" s="2"/>
      <c r="I915" s="2"/>
      <c r="J915" s="2"/>
      <c r="K915" s="2">
        <v>2316.6</v>
      </c>
      <c r="L915" s="2"/>
      <c r="M915" s="2"/>
    </row>
    <row r="916" spans="1:13" ht="21.75">
      <c r="A916" s="35" t="s">
        <v>6</v>
      </c>
      <c r="B916" s="11" t="s">
        <v>40</v>
      </c>
      <c r="C916" s="2" t="s">
        <v>22</v>
      </c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22.5">
      <c r="A917" s="40" t="s">
        <v>7</v>
      </c>
      <c r="B917" s="3"/>
      <c r="C917" s="6"/>
      <c r="D917" s="6"/>
      <c r="E917" s="8">
        <f>G917+I917+K917+M917</f>
        <v>138751.42</v>
      </c>
      <c r="F917" s="2"/>
      <c r="G917" s="2">
        <v>30286.79</v>
      </c>
      <c r="H917" s="2"/>
      <c r="I917" s="2">
        <v>37326.47</v>
      </c>
      <c r="J917" s="2"/>
      <c r="K917" s="2">
        <v>40042.73</v>
      </c>
      <c r="L917" s="2"/>
      <c r="M917" s="2">
        <v>31095.43</v>
      </c>
    </row>
    <row r="918" spans="1:13" ht="12.75">
      <c r="A918" s="41" t="s">
        <v>8</v>
      </c>
      <c r="B918" s="3"/>
      <c r="C918" s="6"/>
      <c r="D918" s="6"/>
      <c r="E918" s="8">
        <f aca="true" t="shared" si="30" ref="E918:E965">G918+I918+K918+M918</f>
        <v>0</v>
      </c>
      <c r="F918" s="2"/>
      <c r="G918" s="2"/>
      <c r="H918" s="2"/>
      <c r="I918" s="2"/>
      <c r="J918" s="2"/>
      <c r="K918" s="2"/>
      <c r="L918" s="2"/>
      <c r="M918" s="2"/>
    </row>
    <row r="919" spans="1:13" ht="12.75">
      <c r="A919" s="41" t="s">
        <v>9</v>
      </c>
      <c r="B919" s="3"/>
      <c r="C919" s="6"/>
      <c r="D919" s="6"/>
      <c r="E919" s="8">
        <f t="shared" si="30"/>
        <v>0</v>
      </c>
      <c r="F919" s="2"/>
      <c r="G919" s="2"/>
      <c r="H919" s="2"/>
      <c r="I919" s="2"/>
      <c r="J919" s="2"/>
      <c r="K919" s="2"/>
      <c r="L919" s="2"/>
      <c r="M919" s="2"/>
    </row>
    <row r="920" spans="1:13" ht="12.75">
      <c r="A920" s="2" t="s">
        <v>10</v>
      </c>
      <c r="B920" s="42"/>
      <c r="C920" s="11"/>
      <c r="D920" s="11"/>
      <c r="E920" s="38">
        <f t="shared" si="30"/>
        <v>138751.42</v>
      </c>
      <c r="F920" s="37"/>
      <c r="G920" s="37">
        <f>SUM(G917:G919)</f>
        <v>30286.79</v>
      </c>
      <c r="H920" s="37"/>
      <c r="I920" s="37">
        <f>SUM(I917:I919)</f>
        <v>37326.47</v>
      </c>
      <c r="J920" s="37"/>
      <c r="K920" s="37">
        <f>SUM(K917:K919)</f>
        <v>40042.73</v>
      </c>
      <c r="L920" s="37"/>
      <c r="M920" s="37">
        <f>SUM(M917:M919)</f>
        <v>31095.43</v>
      </c>
    </row>
    <row r="921" spans="1:13" ht="21.75">
      <c r="A921" s="35" t="s">
        <v>82</v>
      </c>
      <c r="B921" s="42"/>
      <c r="C921" s="2"/>
      <c r="D921" s="2"/>
      <c r="E921" s="7">
        <f t="shared" si="30"/>
        <v>0</v>
      </c>
      <c r="F921" s="2"/>
      <c r="G921" s="2"/>
      <c r="H921" s="2"/>
      <c r="I921" s="2"/>
      <c r="J921" s="2"/>
      <c r="K921" s="2"/>
      <c r="L921" s="2"/>
      <c r="M921" s="2"/>
    </row>
    <row r="922" spans="1:13" ht="12.75">
      <c r="A922" s="43" t="s">
        <v>11</v>
      </c>
      <c r="B922" s="44"/>
      <c r="C922" s="45"/>
      <c r="D922" s="45"/>
      <c r="E922" s="7">
        <f t="shared" si="30"/>
        <v>67354.972824</v>
      </c>
      <c r="F922" s="45"/>
      <c r="G922" s="7">
        <f>7.99407*C915</f>
        <v>14782.634244</v>
      </c>
      <c r="H922" s="2"/>
      <c r="I922" s="7">
        <f>9.57707*C915</f>
        <v>17709.917844000003</v>
      </c>
      <c r="J922" s="2"/>
      <c r="K922" s="7">
        <f>7.32829*K915</f>
        <v>16976.716614</v>
      </c>
      <c r="L922" s="2"/>
      <c r="M922" s="7">
        <f>7.72067*K915</f>
        <v>17885.704122</v>
      </c>
    </row>
    <row r="923" spans="1:13" ht="12.75">
      <c r="A923" s="43" t="s">
        <v>12</v>
      </c>
      <c r="B923" s="46"/>
      <c r="C923" s="7"/>
      <c r="D923" s="7"/>
      <c r="E923" s="7">
        <f t="shared" si="30"/>
        <v>0</v>
      </c>
      <c r="F923" s="7"/>
      <c r="G923" s="7"/>
      <c r="H923" s="2"/>
      <c r="I923" s="7"/>
      <c r="J923" s="2"/>
      <c r="K923" s="7"/>
      <c r="L923" s="2"/>
      <c r="M923" s="7"/>
    </row>
    <row r="924" spans="1:13" ht="12.75">
      <c r="A924" s="41" t="s">
        <v>13</v>
      </c>
      <c r="B924" s="46"/>
      <c r="C924" s="7"/>
      <c r="D924" s="7"/>
      <c r="E924" s="7">
        <f t="shared" si="30"/>
        <v>116300.053606</v>
      </c>
      <c r="F924" s="7"/>
      <c r="G924" s="7">
        <f>G925+G927+G928+G929+G930+G931+G932+G933+G934+G935+G936</f>
        <v>28454.179964000003</v>
      </c>
      <c r="H924" s="2"/>
      <c r="I924" s="7">
        <f>I925+I927+I928+I929+I930+I931+I932+I933+I934+I935+I936</f>
        <v>30197.652308</v>
      </c>
      <c r="J924" s="2"/>
      <c r="K924" s="7">
        <f>K925+K927+K928+K929+K930+K931+K932+K933+K934+K935+K936</f>
        <v>30676.413934</v>
      </c>
      <c r="L924" s="2"/>
      <c r="M924" s="7">
        <f>M925+M927+M928+M929+M930+M931+M932+M933+M934+M935+M936</f>
        <v>26971.807399999998</v>
      </c>
    </row>
    <row r="925" spans="1:13" ht="12.75">
      <c r="A925" s="47" t="s">
        <v>14</v>
      </c>
      <c r="B925" s="46"/>
      <c r="C925" s="71"/>
      <c r="D925" s="7"/>
      <c r="E925" s="7">
        <f t="shared" si="30"/>
        <v>108986</v>
      </c>
      <c r="F925" s="7"/>
      <c r="G925" s="7">
        <v>27155</v>
      </c>
      <c r="H925" s="2"/>
      <c r="I925" s="7">
        <v>26608</v>
      </c>
      <c r="J925" s="2"/>
      <c r="K925" s="7">
        <v>29033</v>
      </c>
      <c r="L925" s="2"/>
      <c r="M925" s="7">
        <v>26190</v>
      </c>
    </row>
    <row r="926" spans="1:13" ht="12.75">
      <c r="A926" s="41" t="s">
        <v>19</v>
      </c>
      <c r="B926" s="46"/>
      <c r="C926" s="71"/>
      <c r="D926" s="7"/>
      <c r="E926" s="7">
        <f t="shared" si="30"/>
        <v>83914.45999999999</v>
      </c>
      <c r="F926" s="7"/>
      <c r="G926" s="7">
        <v>20989.46</v>
      </c>
      <c r="H926" s="2"/>
      <c r="I926" s="7">
        <v>20989</v>
      </c>
      <c r="J926" s="2"/>
      <c r="K926" s="7">
        <v>20968</v>
      </c>
      <c r="L926" s="2"/>
      <c r="M926" s="7">
        <v>20968</v>
      </c>
    </row>
    <row r="927" spans="1:13" ht="12.75">
      <c r="A927" s="41" t="s">
        <v>18</v>
      </c>
      <c r="B927" s="46"/>
      <c r="C927" s="7"/>
      <c r="D927" s="7"/>
      <c r="E927" s="7">
        <f t="shared" si="30"/>
        <v>704.28</v>
      </c>
      <c r="F927" s="7"/>
      <c r="G927" s="7">
        <v>110.52</v>
      </c>
      <c r="H927" s="2"/>
      <c r="I927" s="7">
        <v>155</v>
      </c>
      <c r="J927" s="2"/>
      <c r="K927" s="7">
        <v>210.62</v>
      </c>
      <c r="L927" s="2"/>
      <c r="M927" s="7">
        <v>228.14</v>
      </c>
    </row>
    <row r="928" spans="1:13" ht="12.75">
      <c r="A928" s="41" t="s">
        <v>53</v>
      </c>
      <c r="B928" s="46"/>
      <c r="C928" s="7"/>
      <c r="D928" s="7"/>
      <c r="E928" s="7">
        <f t="shared" si="30"/>
        <v>3952.901586</v>
      </c>
      <c r="F928" s="7"/>
      <c r="G928" s="7">
        <f>0.54857*C915</f>
        <v>1014.415644</v>
      </c>
      <c r="H928" s="2"/>
      <c r="I928" s="7">
        <f>0.53049*C915</f>
        <v>980.982108</v>
      </c>
      <c r="J928" s="2"/>
      <c r="K928" s="7">
        <f>0.60599*K915</f>
        <v>1403.836434</v>
      </c>
      <c r="L928" s="2"/>
      <c r="M928" s="7">
        <f>0.239*K915</f>
        <v>553.6673999999999</v>
      </c>
    </row>
    <row r="929" spans="1:13" ht="12.75">
      <c r="A929" s="41" t="s">
        <v>148</v>
      </c>
      <c r="B929" s="46"/>
      <c r="C929" s="7"/>
      <c r="D929" s="7"/>
      <c r="E929" s="7">
        <f t="shared" si="30"/>
        <v>138</v>
      </c>
      <c r="F929" s="7"/>
      <c r="G929" s="7">
        <v>138</v>
      </c>
      <c r="H929" s="2"/>
      <c r="I929" s="7"/>
      <c r="J929" s="2"/>
      <c r="K929" s="7"/>
      <c r="L929" s="2"/>
      <c r="M929" s="7"/>
    </row>
    <row r="930" spans="1:13" ht="12.75">
      <c r="A930" s="41" t="s">
        <v>27</v>
      </c>
      <c r="B930" s="46"/>
      <c r="C930" s="7"/>
      <c r="D930" s="7"/>
      <c r="E930" s="7">
        <f t="shared" si="30"/>
        <v>777</v>
      </c>
      <c r="F930" s="7"/>
      <c r="G930" s="7"/>
      <c r="H930" s="2"/>
      <c r="I930" s="7">
        <v>777</v>
      </c>
      <c r="J930" s="2"/>
      <c r="K930" s="7"/>
      <c r="L930" s="2"/>
      <c r="M930" s="7"/>
    </row>
    <row r="931" spans="1:13" ht="12.75">
      <c r="A931" s="41" t="s">
        <v>36</v>
      </c>
      <c r="B931" s="46"/>
      <c r="C931" s="7"/>
      <c r="D931" s="7"/>
      <c r="E931" s="7">
        <f t="shared" si="30"/>
        <v>1550</v>
      </c>
      <c r="F931" s="7"/>
      <c r="G931" s="7"/>
      <c r="H931" s="2" t="s">
        <v>228</v>
      </c>
      <c r="I931" s="7">
        <v>1550</v>
      </c>
      <c r="J931" s="2"/>
      <c r="K931" s="7"/>
      <c r="L931" s="2"/>
      <c r="M931" s="7"/>
    </row>
    <row r="932" spans="1:13" ht="12.75">
      <c r="A932" s="41" t="s">
        <v>58</v>
      </c>
      <c r="B932" s="46"/>
      <c r="C932" s="7"/>
      <c r="D932" s="7"/>
      <c r="E932" s="7">
        <f t="shared" si="30"/>
        <v>0</v>
      </c>
      <c r="F932" s="7"/>
      <c r="G932" s="7"/>
      <c r="H932" s="2"/>
      <c r="I932" s="7"/>
      <c r="J932" s="2"/>
      <c r="K932" s="7"/>
      <c r="L932" s="2"/>
      <c r="M932" s="7"/>
    </row>
    <row r="933" spans="1:13" ht="12.75">
      <c r="A933" s="41" t="s">
        <v>43</v>
      </c>
      <c r="B933" s="46"/>
      <c r="C933" s="7"/>
      <c r="D933" s="7"/>
      <c r="E933" s="7">
        <f t="shared" si="30"/>
        <v>0</v>
      </c>
      <c r="F933" s="7"/>
      <c r="G933" s="7"/>
      <c r="H933" s="2"/>
      <c r="I933" s="7"/>
      <c r="J933" s="2"/>
      <c r="K933" s="7"/>
      <c r="L933" s="2"/>
      <c r="M933" s="7"/>
    </row>
    <row r="934" spans="1:13" ht="12.75">
      <c r="A934" s="41" t="s">
        <v>30</v>
      </c>
      <c r="B934" s="46"/>
      <c r="C934" s="7"/>
      <c r="D934" s="7"/>
      <c r="E934" s="7">
        <f t="shared" si="30"/>
        <v>0</v>
      </c>
      <c r="F934" s="7"/>
      <c r="G934" s="7"/>
      <c r="H934" s="2"/>
      <c r="I934" s="7"/>
      <c r="J934" s="2"/>
      <c r="K934" s="7"/>
      <c r="L934" s="2"/>
      <c r="M934" s="7"/>
    </row>
    <row r="935" spans="1:13" ht="12.75">
      <c r="A935" s="41" t="s">
        <v>54</v>
      </c>
      <c r="B935" s="46"/>
      <c r="C935" s="7"/>
      <c r="D935" s="7"/>
      <c r="E935" s="7">
        <f t="shared" si="30"/>
        <v>36.24432</v>
      </c>
      <c r="F935" s="7"/>
      <c r="G935" s="7">
        <f>0.0196*C915</f>
        <v>36.24432</v>
      </c>
      <c r="H935" s="2"/>
      <c r="I935" s="7"/>
      <c r="J935" s="2"/>
      <c r="K935" s="7"/>
      <c r="L935" s="2"/>
      <c r="M935" s="7"/>
    </row>
    <row r="936" spans="1:13" ht="13.5" thickBot="1">
      <c r="A936" s="48" t="s">
        <v>55</v>
      </c>
      <c r="B936" s="49"/>
      <c r="C936" s="50"/>
      <c r="D936" s="50"/>
      <c r="E936" s="50">
        <f t="shared" si="30"/>
        <v>155.6277</v>
      </c>
      <c r="F936" s="50"/>
      <c r="G936" s="50"/>
      <c r="H936" s="22"/>
      <c r="I936" s="50">
        <f>0.0685*C915</f>
        <v>126.67020000000001</v>
      </c>
      <c r="J936" s="22"/>
      <c r="K936" s="50">
        <f>0.0125*K915</f>
        <v>28.9575</v>
      </c>
      <c r="L936" s="22"/>
      <c r="M936" s="50"/>
    </row>
    <row r="937" spans="1:13" ht="13.5" thickBot="1">
      <c r="A937" s="51" t="s">
        <v>76</v>
      </c>
      <c r="B937" s="81"/>
      <c r="C937" s="63"/>
      <c r="D937" s="63"/>
      <c r="E937" s="63">
        <f t="shared" si="30"/>
        <v>183655.02643000003</v>
      </c>
      <c r="F937" s="63"/>
      <c r="G937" s="63">
        <f>G922+G924</f>
        <v>43236.814208</v>
      </c>
      <c r="H937" s="26"/>
      <c r="I937" s="63">
        <f>I922+I924</f>
        <v>47907.570152</v>
      </c>
      <c r="J937" s="26"/>
      <c r="K937" s="63">
        <f>K922+K924</f>
        <v>47653.130548</v>
      </c>
      <c r="L937" s="26"/>
      <c r="M937" s="29">
        <f>M922+M924</f>
        <v>44857.511522</v>
      </c>
    </row>
    <row r="938" spans="1:13" ht="21.75">
      <c r="A938" s="54" t="s">
        <v>15</v>
      </c>
      <c r="B938" s="55"/>
      <c r="C938" s="66"/>
      <c r="D938" s="66"/>
      <c r="E938" s="56">
        <f t="shared" si="30"/>
        <v>0</v>
      </c>
      <c r="F938" s="66"/>
      <c r="G938" s="56"/>
      <c r="H938" s="74"/>
      <c r="I938" s="56"/>
      <c r="J938" s="74"/>
      <c r="K938" s="56"/>
      <c r="L938" s="74"/>
      <c r="M938" s="56"/>
    </row>
    <row r="939" spans="1:13" ht="12.75">
      <c r="A939" s="41" t="s">
        <v>17</v>
      </c>
      <c r="B939" s="46"/>
      <c r="C939" s="7"/>
      <c r="D939" s="7"/>
      <c r="E939" s="7">
        <f t="shared" si="30"/>
        <v>59064.562194</v>
      </c>
      <c r="F939" s="7"/>
      <c r="G939" s="7">
        <f>6.73321*C915</f>
        <v>12451.051932</v>
      </c>
      <c r="H939" s="2"/>
      <c r="I939" s="7">
        <f>7.02207*C915</f>
        <v>12985.211844000001</v>
      </c>
      <c r="J939" s="2"/>
      <c r="K939" s="7">
        <f>7.2754*K915</f>
        <v>16854.19164</v>
      </c>
      <c r="L939" s="2"/>
      <c r="M939" s="7">
        <f>7.24083*K915</f>
        <v>16774.106777999998</v>
      </c>
    </row>
    <row r="940" spans="1:13" ht="12.75">
      <c r="A940" s="41" t="s">
        <v>34</v>
      </c>
      <c r="B940" s="46"/>
      <c r="C940" s="71"/>
      <c r="D940" s="7"/>
      <c r="E940" s="7">
        <f t="shared" si="30"/>
        <v>0</v>
      </c>
      <c r="F940" s="7"/>
      <c r="G940" s="7"/>
      <c r="H940" s="2"/>
      <c r="I940" s="7"/>
      <c r="J940" s="2"/>
      <c r="K940" s="7"/>
      <c r="L940" s="2"/>
      <c r="M940" s="7"/>
    </row>
    <row r="941" spans="1:13" ht="12.75">
      <c r="A941" s="41" t="s">
        <v>67</v>
      </c>
      <c r="B941" s="46"/>
      <c r="C941" s="7"/>
      <c r="D941" s="7"/>
      <c r="E941" s="7">
        <f t="shared" si="30"/>
        <v>0</v>
      </c>
      <c r="F941" s="7"/>
      <c r="G941" s="7"/>
      <c r="H941" s="2"/>
      <c r="I941" s="7"/>
      <c r="J941" s="2"/>
      <c r="K941" s="7"/>
      <c r="L941" s="2"/>
      <c r="M941" s="7"/>
    </row>
    <row r="942" spans="1:13" ht="12.75">
      <c r="A942" s="41" t="s">
        <v>68</v>
      </c>
      <c r="B942" s="46"/>
      <c r="C942" s="7"/>
      <c r="D942" s="7"/>
      <c r="E942" s="7">
        <f t="shared" si="30"/>
        <v>834</v>
      </c>
      <c r="F942" s="7"/>
      <c r="G942" s="7"/>
      <c r="H942" s="2"/>
      <c r="I942" s="7">
        <v>834</v>
      </c>
      <c r="J942" s="2"/>
      <c r="K942" s="7"/>
      <c r="L942" s="2"/>
      <c r="M942" s="7"/>
    </row>
    <row r="943" spans="1:13" ht="12.75">
      <c r="A943" s="41" t="s">
        <v>69</v>
      </c>
      <c r="B943" s="46"/>
      <c r="C943" s="7"/>
      <c r="D943" s="7"/>
      <c r="E943" s="7">
        <f t="shared" si="30"/>
        <v>4602</v>
      </c>
      <c r="F943" s="7"/>
      <c r="G943" s="7">
        <v>4602</v>
      </c>
      <c r="H943" s="2"/>
      <c r="I943" s="7"/>
      <c r="J943" s="2"/>
      <c r="K943" s="7"/>
      <c r="L943" s="2"/>
      <c r="M943" s="7"/>
    </row>
    <row r="944" spans="1:13" ht="12.75">
      <c r="A944" s="41" t="s">
        <v>26</v>
      </c>
      <c r="B944" s="46"/>
      <c r="C944" s="7"/>
      <c r="D944" s="7"/>
      <c r="E944" s="7">
        <f t="shared" si="30"/>
        <v>0</v>
      </c>
      <c r="F944" s="7"/>
      <c r="G944" s="7"/>
      <c r="H944" s="2"/>
      <c r="I944" s="7"/>
      <c r="J944" s="2"/>
      <c r="K944" s="7"/>
      <c r="L944" s="2"/>
      <c r="M944" s="7"/>
    </row>
    <row r="945" spans="1:13" ht="12.75">
      <c r="A945" s="41" t="s">
        <v>28</v>
      </c>
      <c r="B945" s="46"/>
      <c r="C945" s="7"/>
      <c r="D945" s="7"/>
      <c r="E945" s="7">
        <f t="shared" si="30"/>
        <v>0</v>
      </c>
      <c r="F945" s="7"/>
      <c r="G945" s="7"/>
      <c r="H945" s="2"/>
      <c r="I945" s="7"/>
      <c r="J945" s="2"/>
      <c r="K945" s="7"/>
      <c r="L945" s="2"/>
      <c r="M945" s="7"/>
    </row>
    <row r="946" spans="1:13" ht="12.75">
      <c r="A946" s="41" t="s">
        <v>60</v>
      </c>
      <c r="B946" s="46"/>
      <c r="C946" s="7"/>
      <c r="D946" s="7"/>
      <c r="E946" s="7">
        <f t="shared" si="30"/>
        <v>0</v>
      </c>
      <c r="F946" s="7"/>
      <c r="G946" s="7"/>
      <c r="H946" s="2"/>
      <c r="I946" s="7"/>
      <c r="J946" s="2"/>
      <c r="K946" s="7"/>
      <c r="L946" s="2"/>
      <c r="M946" s="7"/>
    </row>
    <row r="947" spans="1:13" ht="12.75">
      <c r="A947" s="41" t="s">
        <v>75</v>
      </c>
      <c r="B947" s="46"/>
      <c r="C947" s="7"/>
      <c r="D947" s="7"/>
      <c r="E947" s="7">
        <f t="shared" si="30"/>
        <v>0</v>
      </c>
      <c r="F947" s="7"/>
      <c r="G947" s="7"/>
      <c r="H947" s="2"/>
      <c r="I947" s="7"/>
      <c r="J947" s="2"/>
      <c r="K947" s="7"/>
      <c r="L947" s="2"/>
      <c r="M947" s="7"/>
    </row>
    <row r="948" spans="1:13" ht="12.75">
      <c r="A948" s="41" t="s">
        <v>62</v>
      </c>
      <c r="B948" s="46"/>
      <c r="C948" s="7"/>
      <c r="D948" s="7"/>
      <c r="E948" s="7">
        <f t="shared" si="30"/>
        <v>0</v>
      </c>
      <c r="F948" s="7"/>
      <c r="G948" s="7"/>
      <c r="H948" s="2"/>
      <c r="I948" s="7"/>
      <c r="J948" s="2"/>
      <c r="K948" s="7"/>
      <c r="L948" s="2"/>
      <c r="M948" s="7"/>
    </row>
    <row r="949" spans="1:13" ht="12.75">
      <c r="A949" s="41" t="s">
        <v>63</v>
      </c>
      <c r="B949" s="46"/>
      <c r="C949" s="7"/>
      <c r="D949" s="7"/>
      <c r="E949" s="7">
        <f t="shared" si="30"/>
        <v>0</v>
      </c>
      <c r="F949" s="7"/>
      <c r="G949" s="7"/>
      <c r="H949" s="2"/>
      <c r="I949" s="7"/>
      <c r="J949" s="2"/>
      <c r="K949" s="7"/>
      <c r="L949" s="2"/>
      <c r="M949" s="7"/>
    </row>
    <row r="950" spans="1:13" ht="12.75">
      <c r="A950" s="41" t="s">
        <v>66</v>
      </c>
      <c r="B950" s="46"/>
      <c r="C950" s="7"/>
      <c r="D950" s="7"/>
      <c r="E950" s="7">
        <f t="shared" si="30"/>
        <v>0</v>
      </c>
      <c r="F950" s="7"/>
      <c r="G950" s="7"/>
      <c r="H950" s="2"/>
      <c r="I950" s="7"/>
      <c r="J950" s="2"/>
      <c r="K950" s="7"/>
      <c r="L950" s="2"/>
      <c r="M950" s="7"/>
    </row>
    <row r="951" spans="1:13" ht="12.75">
      <c r="A951" s="41" t="s">
        <v>51</v>
      </c>
      <c r="B951" s="46"/>
      <c r="C951" s="7"/>
      <c r="D951" s="7"/>
      <c r="E951" s="7">
        <f t="shared" si="30"/>
        <v>2557</v>
      </c>
      <c r="F951" s="7"/>
      <c r="G951" s="7"/>
      <c r="H951" s="2"/>
      <c r="I951" s="7">
        <v>2557</v>
      </c>
      <c r="J951" s="2"/>
      <c r="K951" s="7"/>
      <c r="L951" s="2"/>
      <c r="M951" s="7"/>
    </row>
    <row r="952" spans="1:13" ht="12.75">
      <c r="A952" s="58" t="s">
        <v>52</v>
      </c>
      <c r="B952" s="46"/>
      <c r="C952" s="7"/>
      <c r="D952" s="7"/>
      <c r="E952" s="7">
        <f t="shared" si="30"/>
        <v>0</v>
      </c>
      <c r="F952" s="7"/>
      <c r="G952" s="7"/>
      <c r="H952" s="2"/>
      <c r="I952" s="7"/>
      <c r="J952" s="2"/>
      <c r="K952" s="7"/>
      <c r="L952" s="2"/>
      <c r="M952" s="7"/>
    </row>
    <row r="953" spans="1:13" ht="12.75">
      <c r="A953" s="41" t="s">
        <v>80</v>
      </c>
      <c r="B953" s="46"/>
      <c r="C953" s="7"/>
      <c r="D953" s="7"/>
      <c r="E953" s="7">
        <f t="shared" si="30"/>
        <v>0</v>
      </c>
      <c r="F953" s="7"/>
      <c r="G953" s="7"/>
      <c r="H953" s="2"/>
      <c r="I953" s="7"/>
      <c r="J953" s="2"/>
      <c r="K953" s="7"/>
      <c r="L953" s="2"/>
      <c r="M953" s="7"/>
    </row>
    <row r="954" spans="1:13" ht="12.75">
      <c r="A954" s="41" t="s">
        <v>65</v>
      </c>
      <c r="B954" s="46"/>
      <c r="C954" s="7"/>
      <c r="D954" s="7"/>
      <c r="E954" s="7">
        <f t="shared" si="30"/>
        <v>0</v>
      </c>
      <c r="F954" s="7"/>
      <c r="G954" s="7"/>
      <c r="H954" s="2"/>
      <c r="I954" s="7"/>
      <c r="J954" s="2"/>
      <c r="K954" s="7"/>
      <c r="L954" s="2"/>
      <c r="M954" s="7"/>
    </row>
    <row r="955" spans="1:13" ht="12.75">
      <c r="A955" s="41" t="s">
        <v>57</v>
      </c>
      <c r="B955" s="46"/>
      <c r="C955" s="7"/>
      <c r="D955" s="7"/>
      <c r="E955" s="7">
        <f t="shared" si="30"/>
        <v>13.129320000000002</v>
      </c>
      <c r="F955" s="7"/>
      <c r="G955" s="7"/>
      <c r="H955" s="2"/>
      <c r="I955" s="7">
        <f>0.0071*C915</f>
        <v>13.129320000000002</v>
      </c>
      <c r="J955" s="2"/>
      <c r="K955" s="7"/>
      <c r="L955" s="2"/>
      <c r="M955" s="7"/>
    </row>
    <row r="956" spans="1:13" ht="12.75">
      <c r="A956" s="41" t="s">
        <v>33</v>
      </c>
      <c r="B956" s="46"/>
      <c r="C956" s="7"/>
      <c r="D956" s="7"/>
      <c r="E956" s="7">
        <f t="shared" si="30"/>
        <v>0</v>
      </c>
      <c r="F956" s="15"/>
      <c r="G956" s="7"/>
      <c r="H956" s="2"/>
      <c r="I956" s="7"/>
      <c r="J956" s="2"/>
      <c r="K956" s="7"/>
      <c r="L956" s="2"/>
      <c r="M956" s="7"/>
    </row>
    <row r="957" spans="1:13" ht="12.75">
      <c r="A957" s="41" t="s">
        <v>50</v>
      </c>
      <c r="B957" s="46"/>
      <c r="C957" s="7"/>
      <c r="D957" s="7"/>
      <c r="E957" s="7">
        <f t="shared" si="30"/>
        <v>2153.98806</v>
      </c>
      <c r="F957" s="7"/>
      <c r="G957" s="7">
        <f>0.2455*C915</f>
        <v>453.97860000000003</v>
      </c>
      <c r="H957" s="2"/>
      <c r="I957" s="7">
        <f>0.5802*C915</f>
        <v>1072.9058400000001</v>
      </c>
      <c r="J957" s="2"/>
      <c r="K957" s="7">
        <f>0.1437*K915</f>
        <v>332.89542</v>
      </c>
      <c r="L957" s="2"/>
      <c r="M957" s="7">
        <f>0.127*K915</f>
        <v>294.2082</v>
      </c>
    </row>
    <row r="958" spans="1:13" ht="13.5" thickBot="1">
      <c r="A958" s="48" t="s">
        <v>54</v>
      </c>
      <c r="B958" s="49"/>
      <c r="C958" s="50"/>
      <c r="D958" s="50"/>
      <c r="E958" s="50">
        <f t="shared" si="30"/>
        <v>67.70555999999999</v>
      </c>
      <c r="F958" s="50"/>
      <c r="G958" s="50"/>
      <c r="H958" s="22"/>
      <c r="I958" s="50">
        <f>0.0078*C915</f>
        <v>14.42376</v>
      </c>
      <c r="J958" s="22"/>
      <c r="K958" s="50">
        <f>0.011*K915</f>
        <v>25.482599999999998</v>
      </c>
      <c r="L958" s="22"/>
      <c r="M958" s="50">
        <f>0.012*K915</f>
        <v>27.7992</v>
      </c>
    </row>
    <row r="959" spans="1:13" ht="13.5" thickBot="1">
      <c r="A959" s="59" t="s">
        <v>10</v>
      </c>
      <c r="B959" s="81"/>
      <c r="C959" s="63"/>
      <c r="D959" s="63"/>
      <c r="E959" s="63">
        <f t="shared" si="30"/>
        <v>69292.385134</v>
      </c>
      <c r="F959" s="63"/>
      <c r="G959" s="63">
        <f>SUM(G939:G958)</f>
        <v>17507.030532</v>
      </c>
      <c r="H959" s="26"/>
      <c r="I959" s="63">
        <f>SUM(I939:I958)</f>
        <v>17476.670764000002</v>
      </c>
      <c r="J959" s="26"/>
      <c r="K959" s="63">
        <f>SUM(K939:K958)</f>
        <v>17212.56966</v>
      </c>
      <c r="L959" s="26"/>
      <c r="M959" s="29">
        <f>SUM(M939:M958)</f>
        <v>17096.114178</v>
      </c>
    </row>
    <row r="960" spans="1:13" ht="12.75">
      <c r="A960" s="60" t="s">
        <v>42</v>
      </c>
      <c r="B960" s="55"/>
      <c r="C960" s="66"/>
      <c r="D960" s="66"/>
      <c r="E960" s="56">
        <f t="shared" si="30"/>
        <v>0</v>
      </c>
      <c r="F960" s="66"/>
      <c r="G960" s="56"/>
      <c r="H960" s="74"/>
      <c r="I960" s="56"/>
      <c r="J960" s="74"/>
      <c r="K960" s="56"/>
      <c r="L960" s="74"/>
      <c r="M960" s="56"/>
    </row>
    <row r="961" spans="1:13" ht="12.75">
      <c r="A961" s="41" t="s">
        <v>56</v>
      </c>
      <c r="B961" s="46"/>
      <c r="C961" s="7"/>
      <c r="D961" s="7"/>
      <c r="E961" s="7">
        <f t="shared" si="30"/>
        <v>0</v>
      </c>
      <c r="F961" s="7"/>
      <c r="G961" s="7"/>
      <c r="H961" s="2"/>
      <c r="I961" s="7"/>
      <c r="J961" s="2"/>
      <c r="K961" s="7"/>
      <c r="L961" s="2"/>
      <c r="M961" s="7"/>
    </row>
    <row r="962" spans="1:13" ht="13.5" thickBot="1">
      <c r="A962" s="48" t="s">
        <v>16</v>
      </c>
      <c r="B962" s="49"/>
      <c r="C962" s="50"/>
      <c r="D962" s="50"/>
      <c r="E962" s="50">
        <f t="shared" si="30"/>
        <v>78.54276</v>
      </c>
      <c r="F962" s="50"/>
      <c r="G962" s="50">
        <f>0.0089*C915</f>
        <v>16.45788</v>
      </c>
      <c r="H962" s="22"/>
      <c r="I962" s="50"/>
      <c r="J962" s="22"/>
      <c r="K962" s="50"/>
      <c r="L962" s="22"/>
      <c r="M962" s="50">
        <f>0.0268*K915</f>
        <v>62.08488</v>
      </c>
    </row>
    <row r="963" spans="1:13" ht="13.5" thickBot="1">
      <c r="A963" s="62" t="s">
        <v>10</v>
      </c>
      <c r="B963" s="81"/>
      <c r="C963" s="63"/>
      <c r="D963" s="63"/>
      <c r="E963" s="63">
        <f t="shared" si="30"/>
        <v>78.54276</v>
      </c>
      <c r="F963" s="63"/>
      <c r="G963" s="63">
        <f>SUM(G961:G962)</f>
        <v>16.45788</v>
      </c>
      <c r="H963" s="26"/>
      <c r="I963" s="63"/>
      <c r="J963" s="26"/>
      <c r="K963" s="63"/>
      <c r="L963" s="26"/>
      <c r="M963" s="29">
        <f>SUM(M961:M962)</f>
        <v>62.08488</v>
      </c>
    </row>
    <row r="964" spans="1:13" ht="13.5" thickBot="1">
      <c r="A964" s="64" t="s">
        <v>29</v>
      </c>
      <c r="B964" s="81"/>
      <c r="C964" s="63"/>
      <c r="D964" s="63"/>
      <c r="E964" s="63">
        <f t="shared" si="30"/>
        <v>4834.1936399999995</v>
      </c>
      <c r="F964" s="63"/>
      <c r="G964" s="63">
        <f>0.4236*C915</f>
        <v>783.32112</v>
      </c>
      <c r="H964" s="26"/>
      <c r="I964" s="63">
        <f>0.5971*C915</f>
        <v>1104.15732</v>
      </c>
      <c r="J964" s="26"/>
      <c r="K964" s="63"/>
      <c r="L964" s="26"/>
      <c r="M964" s="29">
        <f>1.272*K915</f>
        <v>2946.7152</v>
      </c>
    </row>
    <row r="965" spans="1:13" ht="21.75">
      <c r="A965" s="65" t="s">
        <v>83</v>
      </c>
      <c r="B965" s="61"/>
      <c r="C965" s="56"/>
      <c r="D965" s="56"/>
      <c r="E965" s="56">
        <f t="shared" si="30"/>
        <v>257860.147964</v>
      </c>
      <c r="F965" s="56"/>
      <c r="G965" s="56">
        <f>G937+G959+G963+G964</f>
        <v>61543.62374</v>
      </c>
      <c r="H965" s="74"/>
      <c r="I965" s="56">
        <f>I937+I959+I963+I964</f>
        <v>66488.39823600001</v>
      </c>
      <c r="J965" s="74"/>
      <c r="K965" s="56">
        <f>K937+K959+K963+K964</f>
        <v>64865.700208</v>
      </c>
      <c r="L965" s="74"/>
      <c r="M965" s="56">
        <f>M937+M959+M963+M964</f>
        <v>64962.425780000005</v>
      </c>
    </row>
    <row r="966" spans="1:13" ht="33.75">
      <c r="A966" s="67" t="s">
        <v>84</v>
      </c>
      <c r="B966" s="46"/>
      <c r="C966" s="7"/>
      <c r="D966" s="7"/>
      <c r="E966" s="8">
        <f>E965/12/C915</f>
        <v>11.620346995277236</v>
      </c>
      <c r="F966" s="7"/>
      <c r="G966" s="8">
        <f>G965/3/C915</f>
        <v>11.093738506741655</v>
      </c>
      <c r="H966" s="2"/>
      <c r="I966" s="8">
        <f>I965/3/C915</f>
        <v>11.985074308890333</v>
      </c>
      <c r="J966" s="2"/>
      <c r="K966" s="8">
        <f>K965/3/K915</f>
        <v>9.333462863391752</v>
      </c>
      <c r="L966" s="2"/>
      <c r="M966" s="8">
        <f>M965/3/K915</f>
        <v>9.347380612391724</v>
      </c>
    </row>
    <row r="967" spans="1:13" ht="12.75">
      <c r="A967" s="69" t="s">
        <v>20</v>
      </c>
      <c r="B967" s="44"/>
      <c r="C967" s="45"/>
      <c r="D967" s="45"/>
      <c r="E967" s="7">
        <f>E920-E965</f>
        <v>-119108.72796399999</v>
      </c>
      <c r="F967" s="45"/>
      <c r="G967" s="7">
        <f>G920-G965</f>
        <v>-31256.833740000002</v>
      </c>
      <c r="H967" s="2"/>
      <c r="I967" s="7">
        <f>I920-I965-31257</f>
        <v>-60418.92823600001</v>
      </c>
      <c r="J967" s="2"/>
      <c r="K967" s="7">
        <f>K920-K965-60419</f>
        <v>-85241.970208</v>
      </c>
      <c r="L967" s="2"/>
      <c r="M967" s="7">
        <f>M920-M965-85242</f>
        <v>-119108.99578</v>
      </c>
    </row>
    <row r="968" spans="1:13" ht="12.75">
      <c r="A968" s="14" t="s">
        <v>24</v>
      </c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1"/>
    </row>
    <row r="969" spans="1:13" ht="12.75">
      <c r="A969" s="14" t="s">
        <v>35</v>
      </c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1:13" ht="12.75">
      <c r="A970" s="14" t="s">
        <v>25</v>
      </c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1:13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1:13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1:13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1:13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1:13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1:13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1:13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1:13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1:13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1:13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1:13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1:13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1:13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1:13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1:13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1:13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1:13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1:13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1:13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1:13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1:13" ht="2.2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1:13" ht="12.75" hidden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1:13" ht="101.25" customHeight="1" hidden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1:13" ht="12.75">
      <c r="A994" s="31" t="s">
        <v>21</v>
      </c>
      <c r="B994" s="31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1:13" ht="12.75">
      <c r="A995" s="14" t="s">
        <v>31</v>
      </c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1:13" ht="12.75">
      <c r="A996" s="14" t="s">
        <v>41</v>
      </c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1:13" ht="12.75">
      <c r="A997" s="14" t="s">
        <v>111</v>
      </c>
      <c r="B997" s="14"/>
      <c r="C997" s="14"/>
      <c r="D997" s="14"/>
      <c r="E997" s="14" t="s">
        <v>32</v>
      </c>
      <c r="F997" s="14"/>
      <c r="G997" s="14"/>
      <c r="H997" s="14"/>
      <c r="I997" s="14"/>
      <c r="J997" s="14"/>
      <c r="K997" s="14"/>
      <c r="L997" s="14"/>
      <c r="M997" s="14"/>
    </row>
    <row r="998" spans="1:13" ht="12.75" customHeight="1">
      <c r="A998" s="6" t="s">
        <v>0</v>
      </c>
      <c r="B998" s="151" t="s">
        <v>38</v>
      </c>
      <c r="C998" s="152"/>
      <c r="D998" s="149" t="s">
        <v>39</v>
      </c>
      <c r="E998" s="150"/>
      <c r="F998" s="149" t="s">
        <v>96</v>
      </c>
      <c r="G998" s="150"/>
      <c r="H998" s="149" t="s">
        <v>97</v>
      </c>
      <c r="I998" s="150"/>
      <c r="J998" s="149" t="s">
        <v>98</v>
      </c>
      <c r="K998" s="150"/>
      <c r="L998" s="149" t="s">
        <v>99</v>
      </c>
      <c r="M998" s="150"/>
    </row>
    <row r="999" spans="1:13" ht="12.75">
      <c r="A999" s="11" t="s">
        <v>5</v>
      </c>
      <c r="B999" s="153"/>
      <c r="C999" s="154"/>
      <c r="D999" s="6" t="s">
        <v>40</v>
      </c>
      <c r="E999" s="6" t="s">
        <v>22</v>
      </c>
      <c r="F999" s="6" t="s">
        <v>40</v>
      </c>
      <c r="G999" s="13" t="s">
        <v>22</v>
      </c>
      <c r="H999" s="2"/>
      <c r="I999" s="2"/>
      <c r="J999" s="2"/>
      <c r="K999" s="2"/>
      <c r="L999" s="2"/>
      <c r="M999" s="2"/>
    </row>
    <row r="1000" spans="1:13" ht="12.75">
      <c r="A1000" s="2" t="s">
        <v>1</v>
      </c>
      <c r="B1000" s="2"/>
      <c r="C1000" s="6">
        <v>5</v>
      </c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ht="12.75">
      <c r="A1001" s="2" t="s">
        <v>2</v>
      </c>
      <c r="B1001" s="2"/>
      <c r="C1001" s="6">
        <v>6</v>
      </c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ht="12.75">
      <c r="A1002" s="2" t="s">
        <v>3</v>
      </c>
      <c r="B1002" s="2"/>
      <c r="C1002" s="6">
        <v>60</v>
      </c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ht="12.75">
      <c r="A1003" s="2" t="s">
        <v>4</v>
      </c>
      <c r="B1003" s="6"/>
      <c r="C1003" s="6">
        <v>3601.78</v>
      </c>
      <c r="D1003" s="6"/>
      <c r="E1003" s="6"/>
      <c r="F1003" s="6"/>
      <c r="G1003" s="2"/>
      <c r="H1003" s="2"/>
      <c r="I1003" s="2"/>
      <c r="J1003" s="2"/>
      <c r="K1003" s="2">
        <v>3615.51</v>
      </c>
      <c r="L1003" s="2"/>
      <c r="M1003" s="2"/>
    </row>
    <row r="1004" spans="1:13" ht="21.75">
      <c r="A1004" s="35" t="s">
        <v>6</v>
      </c>
      <c r="B1004" s="11" t="s">
        <v>40</v>
      </c>
      <c r="C1004" s="2" t="s">
        <v>22</v>
      </c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  <row r="1005" spans="1:13" ht="22.5">
      <c r="A1005" s="40" t="s">
        <v>7</v>
      </c>
      <c r="B1005" s="3"/>
      <c r="C1005" s="6"/>
      <c r="D1005" s="6"/>
      <c r="E1005" s="6">
        <f>G1005+I1005+K1005+M1005</f>
        <v>359688.04</v>
      </c>
      <c r="F1005" s="2"/>
      <c r="G1005" s="2">
        <v>106593.42</v>
      </c>
      <c r="H1005" s="2"/>
      <c r="I1005" s="2">
        <v>93805.31</v>
      </c>
      <c r="J1005" s="2"/>
      <c r="K1005" s="2">
        <v>71108.54</v>
      </c>
      <c r="L1005" s="2"/>
      <c r="M1005" s="2">
        <v>88180.77</v>
      </c>
    </row>
    <row r="1006" spans="1:13" ht="12.75">
      <c r="A1006" s="41" t="s">
        <v>8</v>
      </c>
      <c r="B1006" s="3"/>
      <c r="C1006" s="6"/>
      <c r="D1006" s="6"/>
      <c r="E1006" s="6"/>
      <c r="F1006" s="2"/>
      <c r="G1006" s="2"/>
      <c r="H1006" s="2"/>
      <c r="I1006" s="2"/>
      <c r="J1006" s="2"/>
      <c r="K1006" s="2"/>
      <c r="L1006" s="2"/>
      <c r="M1006" s="2"/>
    </row>
    <row r="1007" spans="1:13" ht="12.75">
      <c r="A1007" s="48" t="s">
        <v>9</v>
      </c>
      <c r="B1007" s="36"/>
      <c r="C1007" s="12"/>
      <c r="D1007" s="12"/>
      <c r="E1007" s="12"/>
      <c r="F1007" s="22"/>
      <c r="G1007" s="22"/>
      <c r="H1007" s="22"/>
      <c r="I1007" s="22"/>
      <c r="J1007" s="22"/>
      <c r="K1007" s="22"/>
      <c r="L1007" s="22"/>
      <c r="M1007" s="22"/>
    </row>
    <row r="1008" spans="1:13" ht="12.75">
      <c r="A1008" s="2" t="s">
        <v>10</v>
      </c>
      <c r="B1008" s="42"/>
      <c r="C1008" s="11"/>
      <c r="D1008" s="11"/>
      <c r="E1008" s="11">
        <f>SUM(E1005:E1007)</f>
        <v>359688.04</v>
      </c>
      <c r="F1008" s="37"/>
      <c r="G1008" s="37">
        <f>SUM(G1005:G1007)</f>
        <v>106593.42</v>
      </c>
      <c r="H1008" s="2"/>
      <c r="I1008" s="2">
        <f>SUM(I1005:I1007)</f>
        <v>93805.31</v>
      </c>
      <c r="J1008" s="2"/>
      <c r="K1008" s="2">
        <f>SUM(K1005:K1007)</f>
        <v>71108.54</v>
      </c>
      <c r="L1008" s="2"/>
      <c r="M1008" s="2">
        <f>SUM(M1005:M1007)</f>
        <v>88180.77</v>
      </c>
    </row>
    <row r="1009" spans="1:13" ht="21.75">
      <c r="A1009" s="91" t="s">
        <v>82</v>
      </c>
      <c r="B1009" s="92"/>
      <c r="C1009" s="74"/>
      <c r="D1009" s="74"/>
      <c r="E1009" s="74"/>
      <c r="F1009" s="74"/>
      <c r="G1009" s="74"/>
      <c r="H1009" s="74"/>
      <c r="I1009" s="74"/>
      <c r="J1009" s="74"/>
      <c r="K1009" s="74"/>
      <c r="L1009" s="74"/>
      <c r="M1009" s="74"/>
    </row>
    <row r="1010" spans="1:13" ht="12.75">
      <c r="A1010" s="43" t="s">
        <v>11</v>
      </c>
      <c r="B1010" s="44"/>
      <c r="C1010" s="45"/>
      <c r="D1010" s="45"/>
      <c r="E1010" s="7">
        <f>G1010+I1010+K1010+M1010</f>
        <v>116282.88640710001</v>
      </c>
      <c r="F1010" s="45"/>
      <c r="G1010" s="7">
        <f>7.99407*C1003</f>
        <v>28792.8814446</v>
      </c>
      <c r="H1010" s="2"/>
      <c r="I1010" s="7">
        <f>9.57707*C1003</f>
        <v>34494.499184600005</v>
      </c>
      <c r="J1010" s="2"/>
      <c r="K1010" s="7">
        <f>7.32829*K1003</f>
        <v>26495.5057779</v>
      </c>
      <c r="L1010" s="2"/>
      <c r="M1010" s="7">
        <v>26500</v>
      </c>
    </row>
    <row r="1011" spans="1:13" ht="12.75">
      <c r="A1011" s="43" t="s">
        <v>12</v>
      </c>
      <c r="B1011" s="46"/>
      <c r="C1011" s="7"/>
      <c r="D1011" s="7"/>
      <c r="E1011" s="7">
        <f aca="true" t="shared" si="31" ref="E1011:E1064">G1011+I1011+K1011+M1011</f>
        <v>0</v>
      </c>
      <c r="F1011" s="7"/>
      <c r="G1011" s="7"/>
      <c r="H1011" s="2"/>
      <c r="I1011" s="7"/>
      <c r="J1011" s="2"/>
      <c r="K1011" s="7"/>
      <c r="L1011" s="2"/>
      <c r="M1011" s="7"/>
    </row>
    <row r="1012" spans="1:13" ht="12.75">
      <c r="A1012" s="41" t="s">
        <v>13</v>
      </c>
      <c r="B1012" s="46"/>
      <c r="C1012" s="7"/>
      <c r="D1012" s="7"/>
      <c r="E1012" s="7">
        <f t="shared" si="31"/>
        <v>154580.8733397</v>
      </c>
      <c r="F1012" s="7"/>
      <c r="G1012" s="7">
        <f>G1013+G1015+G1016+G1017+G1019+G1020+G1021+G1022+G1023+G1024+G1025</f>
        <v>39003.4533426</v>
      </c>
      <c r="H1012" s="2"/>
      <c r="I1012" s="7">
        <f>I1013+I1015+I1016+I1017+I1019+I1020+I1021+I1022+I1023+I1024+I1025</f>
        <v>42736.4302022</v>
      </c>
      <c r="J1012" s="2"/>
      <c r="K1012" s="7">
        <f>K1013+K1015+K1016+K1017+K1019+K1020+K1021+K1022+K1023+K1024+K1025</f>
        <v>36777.2529049</v>
      </c>
      <c r="L1012" s="2"/>
      <c r="M1012" s="7">
        <f>M1013+M1015+M1016+M1017+M1018+M1019+M1020+M1021+M1022+M1023+M1024+M1025</f>
        <v>36063.73689</v>
      </c>
    </row>
    <row r="1013" spans="1:13" ht="12.75">
      <c r="A1013" s="47" t="s">
        <v>14</v>
      </c>
      <c r="B1013" s="46"/>
      <c r="C1013" s="71"/>
      <c r="D1013" s="7"/>
      <c r="E1013" s="7">
        <f t="shared" si="31"/>
        <v>130261</v>
      </c>
      <c r="F1013" s="7"/>
      <c r="G1013" s="7">
        <v>33629</v>
      </c>
      <c r="H1013" s="2"/>
      <c r="I1013" s="7">
        <v>32563</v>
      </c>
      <c r="J1013" s="2"/>
      <c r="K1013" s="7">
        <v>34186</v>
      </c>
      <c r="L1013" s="2"/>
      <c r="M1013" s="7">
        <v>29883</v>
      </c>
    </row>
    <row r="1014" spans="1:13" ht="12.75">
      <c r="A1014" s="41" t="s">
        <v>19</v>
      </c>
      <c r="B1014" s="46"/>
      <c r="C1014" s="71"/>
      <c r="D1014" s="7"/>
      <c r="E1014" s="7">
        <f t="shared" si="31"/>
        <v>86434.15</v>
      </c>
      <c r="F1014" s="7"/>
      <c r="G1014" s="7">
        <v>21619.15</v>
      </c>
      <c r="H1014" s="2"/>
      <c r="I1014" s="7">
        <v>21619</v>
      </c>
      <c r="J1014" s="2"/>
      <c r="K1014" s="7">
        <v>21598</v>
      </c>
      <c r="L1014" s="2"/>
      <c r="M1014" s="7">
        <v>21598</v>
      </c>
    </row>
    <row r="1015" spans="1:13" ht="12.75">
      <c r="A1015" s="41" t="s">
        <v>18</v>
      </c>
      <c r="B1015" s="46"/>
      <c r="C1015" s="7"/>
      <c r="D1015" s="7"/>
      <c r="E1015" s="7">
        <f t="shared" si="31"/>
        <v>3269.86</v>
      </c>
      <c r="F1015" s="7"/>
      <c r="G1015" s="7">
        <v>2140.03</v>
      </c>
      <c r="H1015" s="2"/>
      <c r="I1015" s="7">
        <v>296</v>
      </c>
      <c r="J1015" s="2"/>
      <c r="K1015" s="7">
        <v>400.29</v>
      </c>
      <c r="L1015" s="2"/>
      <c r="M1015" s="7">
        <v>433.54</v>
      </c>
    </row>
    <row r="1016" spans="1:13" ht="12.75">
      <c r="A1016" s="41" t="s">
        <v>53</v>
      </c>
      <c r="B1016" s="46"/>
      <c r="C1016" s="7"/>
      <c r="D1016" s="7"/>
      <c r="E1016" s="7">
        <f t="shared" si="31"/>
        <v>6941.6065217000005</v>
      </c>
      <c r="F1016" s="7"/>
      <c r="G1016" s="7">
        <f>0.54857*C1003</f>
        <v>1975.8284546000002</v>
      </c>
      <c r="H1016" s="2"/>
      <c r="I1016" s="7">
        <f>0.53049*C1003</f>
        <v>1910.7082722000002</v>
      </c>
      <c r="J1016" s="2"/>
      <c r="K1016" s="7">
        <f>0.60599*K1003</f>
        <v>2190.9629049</v>
      </c>
      <c r="L1016" s="2"/>
      <c r="M1016" s="7">
        <f>0.239*K1003</f>
        <v>864.10689</v>
      </c>
    </row>
    <row r="1017" spans="1:13" ht="12.75">
      <c r="A1017" s="41" t="s">
        <v>148</v>
      </c>
      <c r="B1017" s="46"/>
      <c r="C1017" s="7"/>
      <c r="D1017" s="7"/>
      <c r="E1017" s="7">
        <f t="shared" si="31"/>
        <v>1925</v>
      </c>
      <c r="F1017" s="7"/>
      <c r="G1017" s="7">
        <v>1188</v>
      </c>
      <c r="H1017" s="2"/>
      <c r="I1017" s="7">
        <v>737</v>
      </c>
      <c r="J1017" s="2"/>
      <c r="K1017" s="7"/>
      <c r="L1017" s="2"/>
      <c r="M1017" s="7"/>
    </row>
    <row r="1018" spans="1:13" ht="12.75">
      <c r="A1018" s="41" t="s">
        <v>357</v>
      </c>
      <c r="B1018" s="46"/>
      <c r="C1018" s="7"/>
      <c r="D1018" s="7"/>
      <c r="E1018" s="7"/>
      <c r="F1018" s="7"/>
      <c r="G1018" s="7"/>
      <c r="H1018" s="2"/>
      <c r="I1018" s="7"/>
      <c r="J1018" s="2"/>
      <c r="K1018" s="7"/>
      <c r="L1018" s="2"/>
      <c r="M1018" s="7">
        <v>793</v>
      </c>
    </row>
    <row r="1019" spans="1:13" ht="12.75">
      <c r="A1019" s="41" t="s">
        <v>27</v>
      </c>
      <c r="B1019" s="46"/>
      <c r="C1019" s="7"/>
      <c r="D1019" s="7"/>
      <c r="E1019" s="7">
        <f t="shared" si="31"/>
        <v>2200</v>
      </c>
      <c r="F1019" s="7"/>
      <c r="G1019" s="7"/>
      <c r="H1019" s="2"/>
      <c r="I1019" s="7">
        <v>2200</v>
      </c>
      <c r="J1019" s="2"/>
      <c r="K1019" s="7"/>
      <c r="L1019" s="2"/>
      <c r="M1019" s="7"/>
    </row>
    <row r="1020" spans="1:13" ht="12.75">
      <c r="A1020" s="41" t="s">
        <v>36</v>
      </c>
      <c r="B1020" s="46"/>
      <c r="C1020" s="7"/>
      <c r="D1020" s="7"/>
      <c r="E1020" s="7">
        <f t="shared" si="31"/>
        <v>5113.09</v>
      </c>
      <c r="F1020" s="7"/>
      <c r="G1020" s="7"/>
      <c r="H1020" s="2" t="s">
        <v>230</v>
      </c>
      <c r="I1020" s="7">
        <v>1023</v>
      </c>
      <c r="J1020" s="2"/>
      <c r="K1020" s="7"/>
      <c r="L1020" s="2" t="s">
        <v>413</v>
      </c>
      <c r="M1020" s="7">
        <v>4090.09</v>
      </c>
    </row>
    <row r="1021" spans="1:13" ht="12.75">
      <c r="A1021" s="41" t="s">
        <v>58</v>
      </c>
      <c r="B1021" s="46"/>
      <c r="C1021" s="7"/>
      <c r="D1021" s="7"/>
      <c r="E1021" s="7">
        <f t="shared" si="31"/>
        <v>0</v>
      </c>
      <c r="F1021" s="7"/>
      <c r="G1021" s="7"/>
      <c r="H1021" s="2"/>
      <c r="I1021" s="7"/>
      <c r="J1021" s="2"/>
      <c r="K1021" s="7"/>
      <c r="L1021" s="2"/>
      <c r="M1021" s="7"/>
    </row>
    <row r="1022" spans="1:13" ht="12.75">
      <c r="A1022" s="41" t="s">
        <v>43</v>
      </c>
      <c r="B1022" s="46"/>
      <c r="C1022" s="7"/>
      <c r="D1022" s="7"/>
      <c r="E1022" s="7">
        <f t="shared" si="31"/>
        <v>0</v>
      </c>
      <c r="F1022" s="7"/>
      <c r="G1022" s="7"/>
      <c r="H1022" s="2"/>
      <c r="I1022" s="7"/>
      <c r="J1022" s="2"/>
      <c r="K1022" s="7"/>
      <c r="L1022" s="2"/>
      <c r="M1022" s="7"/>
    </row>
    <row r="1023" spans="1:13" ht="12.75">
      <c r="A1023" s="41" t="s">
        <v>30</v>
      </c>
      <c r="B1023" s="46"/>
      <c r="C1023" s="7"/>
      <c r="D1023" s="7"/>
      <c r="E1023" s="7">
        <f t="shared" si="31"/>
        <v>3760</v>
      </c>
      <c r="F1023" s="7"/>
      <c r="G1023" s="7"/>
      <c r="H1023" s="2"/>
      <c r="I1023" s="7">
        <v>3760</v>
      </c>
      <c r="J1023" s="2"/>
      <c r="K1023" s="7"/>
      <c r="L1023" s="2"/>
      <c r="M1023" s="7"/>
    </row>
    <row r="1024" spans="1:13" ht="12.75">
      <c r="A1024" s="41" t="s">
        <v>54</v>
      </c>
      <c r="B1024" s="46"/>
      <c r="C1024" s="7"/>
      <c r="D1024" s="7"/>
      <c r="E1024" s="7">
        <f t="shared" si="31"/>
        <v>70.594888</v>
      </c>
      <c r="F1024" s="7"/>
      <c r="G1024" s="7">
        <f>0.0196*C1003</f>
        <v>70.594888</v>
      </c>
      <c r="H1024" s="2"/>
      <c r="I1024" s="7"/>
      <c r="J1024" s="2"/>
      <c r="K1024" s="7"/>
      <c r="L1024" s="2"/>
      <c r="M1024" s="7"/>
    </row>
    <row r="1025" spans="1:13" ht="13.5" thickBot="1">
      <c r="A1025" s="48" t="s">
        <v>55</v>
      </c>
      <c r="B1025" s="49"/>
      <c r="C1025" s="50"/>
      <c r="D1025" s="50"/>
      <c r="E1025" s="50">
        <f t="shared" si="31"/>
        <v>246.72193000000004</v>
      </c>
      <c r="F1025" s="50"/>
      <c r="G1025" s="50"/>
      <c r="H1025" s="22"/>
      <c r="I1025" s="50">
        <f>0.0685*C1003</f>
        <v>246.72193000000004</v>
      </c>
      <c r="J1025" s="22"/>
      <c r="K1025" s="50"/>
      <c r="L1025" s="22"/>
      <c r="M1025" s="50"/>
    </row>
    <row r="1026" spans="1:13" ht="13.5" thickBot="1">
      <c r="A1026" s="51" t="s">
        <v>76</v>
      </c>
      <c r="B1026" s="81"/>
      <c r="C1026" s="63"/>
      <c r="D1026" s="63"/>
      <c r="E1026" s="63">
        <f t="shared" si="31"/>
        <v>270863.7597468</v>
      </c>
      <c r="F1026" s="63"/>
      <c r="G1026" s="63">
        <f>G1010+G1012</f>
        <v>67796.3347872</v>
      </c>
      <c r="H1026" s="26"/>
      <c r="I1026" s="63">
        <f>I1010+I1012</f>
        <v>77230.92938680001</v>
      </c>
      <c r="J1026" s="26"/>
      <c r="K1026" s="63">
        <f>K1010+K1012</f>
        <v>63272.758682800006</v>
      </c>
      <c r="L1026" s="26"/>
      <c r="M1026" s="29">
        <f>M1010+M1012</f>
        <v>62563.73689</v>
      </c>
    </row>
    <row r="1027" spans="1:13" ht="15" customHeight="1">
      <c r="A1027" s="54" t="s">
        <v>15</v>
      </c>
      <c r="B1027" s="55"/>
      <c r="C1027" s="66"/>
      <c r="D1027" s="66"/>
      <c r="E1027" s="56">
        <f t="shared" si="31"/>
        <v>0</v>
      </c>
      <c r="F1027" s="66"/>
      <c r="G1027" s="56"/>
      <c r="H1027" s="74"/>
      <c r="I1027" s="56"/>
      <c r="J1027" s="74"/>
      <c r="K1027" s="56"/>
      <c r="L1027" s="74"/>
      <c r="M1027" s="56"/>
    </row>
    <row r="1028" spans="1:13" ht="12.75">
      <c r="A1028" s="41" t="s">
        <v>17</v>
      </c>
      <c r="B1028" s="46"/>
      <c r="C1028" s="7"/>
      <c r="D1028" s="7"/>
      <c r="E1028" s="7">
        <f t="shared" si="31"/>
        <v>102027.06712570002</v>
      </c>
      <c r="F1028" s="7"/>
      <c r="G1028" s="7">
        <f>6.73321*C1003</f>
        <v>24251.5411138</v>
      </c>
      <c r="H1028" s="2"/>
      <c r="I1028" s="7">
        <f>7.02207*C1003</f>
        <v>25291.951284600003</v>
      </c>
      <c r="J1028" s="2"/>
      <c r="K1028" s="7">
        <f>7.2754*K1003</f>
        <v>26304.281454000004</v>
      </c>
      <c r="L1028" s="2"/>
      <c r="M1028" s="7">
        <f>7.24083*K1003</f>
        <v>26179.2932733</v>
      </c>
    </row>
    <row r="1029" spans="1:13" ht="12.75">
      <c r="A1029" s="41" t="s">
        <v>394</v>
      </c>
      <c r="B1029" s="46"/>
      <c r="C1029" s="71"/>
      <c r="D1029" s="7"/>
      <c r="E1029" s="7">
        <f t="shared" si="31"/>
        <v>38824</v>
      </c>
      <c r="F1029" s="7"/>
      <c r="G1029" s="7"/>
      <c r="H1029" s="2"/>
      <c r="I1029" s="7"/>
      <c r="J1029" s="2" t="s">
        <v>304</v>
      </c>
      <c r="K1029" s="7">
        <v>29280</v>
      </c>
      <c r="L1029" s="2"/>
      <c r="M1029" s="7">
        <v>9544</v>
      </c>
    </row>
    <row r="1030" spans="1:13" ht="12.75">
      <c r="A1030" s="41" t="s">
        <v>67</v>
      </c>
      <c r="B1030" s="46"/>
      <c r="C1030" s="7"/>
      <c r="D1030" s="7"/>
      <c r="E1030" s="7">
        <f t="shared" si="31"/>
        <v>22577</v>
      </c>
      <c r="F1030" s="7"/>
      <c r="G1030" s="7">
        <v>9380</v>
      </c>
      <c r="H1030" s="2"/>
      <c r="I1030" s="7">
        <v>9819</v>
      </c>
      <c r="J1030" s="2"/>
      <c r="K1030" s="7">
        <v>2625</v>
      </c>
      <c r="L1030" s="2"/>
      <c r="M1030" s="7">
        <v>753</v>
      </c>
    </row>
    <row r="1031" spans="1:13" ht="12.75">
      <c r="A1031" s="41" t="s">
        <v>149</v>
      </c>
      <c r="B1031" s="46"/>
      <c r="C1031" s="7"/>
      <c r="D1031" s="7"/>
      <c r="E1031" s="7">
        <f t="shared" si="31"/>
        <v>1785.5</v>
      </c>
      <c r="F1031" s="7"/>
      <c r="G1031" s="7"/>
      <c r="H1031" s="2"/>
      <c r="I1031" s="7">
        <v>1437.5</v>
      </c>
      <c r="J1031" s="2"/>
      <c r="K1031" s="7">
        <v>348</v>
      </c>
      <c r="L1031" s="2"/>
      <c r="M1031" s="7"/>
    </row>
    <row r="1032" spans="1:13" ht="12.75">
      <c r="A1032" s="41" t="s">
        <v>69</v>
      </c>
      <c r="B1032" s="46"/>
      <c r="C1032" s="7"/>
      <c r="D1032" s="7"/>
      <c r="E1032" s="7">
        <f t="shared" si="31"/>
        <v>914.5</v>
      </c>
      <c r="F1032" s="7"/>
      <c r="G1032" s="7">
        <v>914.5</v>
      </c>
      <c r="H1032" s="2"/>
      <c r="I1032" s="7"/>
      <c r="J1032" s="2"/>
      <c r="K1032" s="7"/>
      <c r="L1032" s="2"/>
      <c r="M1032" s="7"/>
    </row>
    <row r="1033" spans="1:13" ht="12.75">
      <c r="A1033" s="41" t="s">
        <v>26</v>
      </c>
      <c r="B1033" s="46"/>
      <c r="C1033" s="7"/>
      <c r="D1033" s="7"/>
      <c r="E1033" s="7">
        <f t="shared" si="31"/>
        <v>18296</v>
      </c>
      <c r="F1033" s="7"/>
      <c r="G1033" s="7">
        <v>787.5</v>
      </c>
      <c r="H1033" s="2"/>
      <c r="I1033" s="7">
        <v>13349.5</v>
      </c>
      <c r="J1033" s="2"/>
      <c r="K1033" s="7">
        <v>2589</v>
      </c>
      <c r="L1033" s="2"/>
      <c r="M1033" s="7">
        <v>1570</v>
      </c>
    </row>
    <row r="1034" spans="1:13" ht="12.75">
      <c r="A1034" s="41" t="s">
        <v>307</v>
      </c>
      <c r="B1034" s="46"/>
      <c r="C1034" s="7"/>
      <c r="D1034" s="7"/>
      <c r="E1034" s="7">
        <f t="shared" si="31"/>
        <v>6794</v>
      </c>
      <c r="F1034" s="7"/>
      <c r="G1034" s="7">
        <v>2281</v>
      </c>
      <c r="H1034" s="2"/>
      <c r="I1034" s="7">
        <v>1521</v>
      </c>
      <c r="J1034" s="2"/>
      <c r="K1034" s="7">
        <v>2992</v>
      </c>
      <c r="L1034" s="2"/>
      <c r="M1034" s="7"/>
    </row>
    <row r="1035" spans="1:13" ht="12.75">
      <c r="A1035" s="41" t="s">
        <v>291</v>
      </c>
      <c r="B1035" s="46"/>
      <c r="C1035" s="7"/>
      <c r="D1035" s="7"/>
      <c r="E1035" s="7">
        <f t="shared" si="31"/>
        <v>175</v>
      </c>
      <c r="F1035" s="7"/>
      <c r="G1035" s="7"/>
      <c r="H1035" s="2"/>
      <c r="I1035" s="7"/>
      <c r="J1035" s="2"/>
      <c r="K1035" s="7">
        <v>175</v>
      </c>
      <c r="L1035" s="2"/>
      <c r="M1035" s="7"/>
    </row>
    <row r="1036" spans="1:13" ht="12.75">
      <c r="A1036" s="41" t="s">
        <v>60</v>
      </c>
      <c r="B1036" s="46"/>
      <c r="C1036" s="7"/>
      <c r="D1036" s="7"/>
      <c r="E1036" s="7">
        <f t="shared" si="31"/>
        <v>0</v>
      </c>
      <c r="F1036" s="7"/>
      <c r="G1036" s="7"/>
      <c r="H1036" s="2"/>
      <c r="I1036" s="7"/>
      <c r="J1036" s="2"/>
      <c r="K1036" s="7"/>
      <c r="L1036" s="2"/>
      <c r="M1036" s="7"/>
    </row>
    <row r="1037" spans="1:13" ht="12.75">
      <c r="A1037" s="41" t="s">
        <v>229</v>
      </c>
      <c r="B1037" s="46"/>
      <c r="C1037" s="7"/>
      <c r="D1037" s="7"/>
      <c r="E1037" s="7">
        <f t="shared" si="31"/>
        <v>11844</v>
      </c>
      <c r="F1037" s="7"/>
      <c r="G1037" s="7"/>
      <c r="H1037" s="2"/>
      <c r="I1037" s="7">
        <v>11844</v>
      </c>
      <c r="J1037" s="2"/>
      <c r="K1037" s="7"/>
      <c r="L1037" s="2"/>
      <c r="M1037" s="7"/>
    </row>
    <row r="1038" spans="1:13" ht="12.75">
      <c r="A1038" s="41" t="s">
        <v>321</v>
      </c>
      <c r="B1038" s="46"/>
      <c r="C1038" s="7"/>
      <c r="D1038" s="7"/>
      <c r="E1038" s="7">
        <f t="shared" si="31"/>
        <v>50896.71</v>
      </c>
      <c r="F1038" s="7"/>
      <c r="G1038" s="7"/>
      <c r="H1038" s="2"/>
      <c r="I1038" s="7"/>
      <c r="J1038" s="2"/>
      <c r="K1038" s="7">
        <v>2753.6</v>
      </c>
      <c r="L1038" s="2"/>
      <c r="M1038" s="7">
        <v>48143.11</v>
      </c>
    </row>
    <row r="1039" spans="1:13" ht="12.75">
      <c r="A1039" s="41" t="s">
        <v>392</v>
      </c>
      <c r="B1039" s="46"/>
      <c r="C1039" s="7"/>
      <c r="D1039" s="7"/>
      <c r="E1039" s="7">
        <f t="shared" si="31"/>
        <v>15950</v>
      </c>
      <c r="F1039" s="7"/>
      <c r="G1039" s="7"/>
      <c r="H1039" s="2"/>
      <c r="I1039" s="7"/>
      <c r="J1039" s="2"/>
      <c r="K1039" s="7"/>
      <c r="L1039" s="2"/>
      <c r="M1039" s="7">
        <v>15950</v>
      </c>
    </row>
    <row r="1040" spans="1:13" ht="12.75">
      <c r="A1040" s="41" t="s">
        <v>393</v>
      </c>
      <c r="B1040" s="46"/>
      <c r="C1040" s="7"/>
      <c r="D1040" s="7"/>
      <c r="E1040" s="7">
        <f t="shared" si="31"/>
        <v>270</v>
      </c>
      <c r="F1040" s="7"/>
      <c r="G1040" s="7"/>
      <c r="H1040" s="2"/>
      <c r="I1040" s="7"/>
      <c r="J1040" s="2"/>
      <c r="K1040" s="7"/>
      <c r="L1040" s="2"/>
      <c r="M1040" s="7">
        <v>270</v>
      </c>
    </row>
    <row r="1041" spans="1:13" ht="12.75">
      <c r="A1041" s="41" t="s">
        <v>51</v>
      </c>
      <c r="B1041" s="46"/>
      <c r="C1041" s="7"/>
      <c r="D1041" s="7"/>
      <c r="E1041" s="7">
        <f t="shared" si="31"/>
        <v>2568.73</v>
      </c>
      <c r="F1041" s="7"/>
      <c r="G1041" s="7"/>
      <c r="H1041" s="2"/>
      <c r="I1041" s="7">
        <v>2568.73</v>
      </c>
      <c r="J1041" s="2"/>
      <c r="K1041" s="7"/>
      <c r="L1041" s="2"/>
      <c r="M1041" s="7"/>
    </row>
    <row r="1042" spans="1:13" ht="12.75">
      <c r="A1042" s="58" t="s">
        <v>395</v>
      </c>
      <c r="B1042" s="46"/>
      <c r="C1042" s="7"/>
      <c r="D1042" s="7"/>
      <c r="E1042" s="7">
        <f t="shared" si="31"/>
        <v>13438.72</v>
      </c>
      <c r="F1042" s="7"/>
      <c r="G1042" s="7"/>
      <c r="H1042" s="2"/>
      <c r="I1042" s="7"/>
      <c r="J1042" s="2"/>
      <c r="K1042" s="7"/>
      <c r="L1042" s="2"/>
      <c r="M1042" s="7">
        <v>13438.72</v>
      </c>
    </row>
    <row r="1043" spans="1:13" ht="12.75">
      <c r="A1043" s="41" t="s">
        <v>80</v>
      </c>
      <c r="B1043" s="46"/>
      <c r="C1043" s="7"/>
      <c r="D1043" s="7"/>
      <c r="E1043" s="7">
        <f t="shared" si="31"/>
        <v>0</v>
      </c>
      <c r="F1043" s="7"/>
      <c r="G1043" s="7"/>
      <c r="H1043" s="2"/>
      <c r="I1043" s="7"/>
      <c r="J1043" s="2"/>
      <c r="K1043" s="7"/>
      <c r="L1043" s="2"/>
      <c r="M1043" s="7"/>
    </row>
    <row r="1044" spans="1:13" ht="12.75">
      <c r="A1044" s="41" t="s">
        <v>150</v>
      </c>
      <c r="B1044" s="46"/>
      <c r="C1044" s="7"/>
      <c r="D1044" s="7"/>
      <c r="E1044" s="7">
        <f t="shared" si="31"/>
        <v>50</v>
      </c>
      <c r="F1044" s="7"/>
      <c r="G1044" s="7">
        <v>50</v>
      </c>
      <c r="H1044" s="2"/>
      <c r="I1044" s="7"/>
      <c r="J1044" s="2"/>
      <c r="K1044" s="7"/>
      <c r="L1044" s="2"/>
      <c r="M1044" s="7"/>
    </row>
    <row r="1045" spans="1:13" ht="12.75">
      <c r="A1045" s="41" t="s">
        <v>151</v>
      </c>
      <c r="B1045" s="46"/>
      <c r="C1045" s="7"/>
      <c r="D1045" s="7"/>
      <c r="E1045" s="7">
        <f t="shared" si="31"/>
        <v>1750</v>
      </c>
      <c r="F1045" s="7"/>
      <c r="G1045" s="7">
        <v>1750</v>
      </c>
      <c r="H1045" s="2"/>
      <c r="I1045" s="7"/>
      <c r="J1045" s="2"/>
      <c r="K1045" s="7"/>
      <c r="L1045" s="2"/>
      <c r="M1045" s="7"/>
    </row>
    <row r="1046" spans="1:13" ht="12.75">
      <c r="A1046" s="41" t="s">
        <v>231</v>
      </c>
      <c r="B1046" s="46"/>
      <c r="C1046" s="7"/>
      <c r="D1046" s="7"/>
      <c r="E1046" s="7">
        <f t="shared" si="31"/>
        <v>730</v>
      </c>
      <c r="F1046" s="7"/>
      <c r="G1046" s="7"/>
      <c r="H1046" s="2"/>
      <c r="I1046" s="7">
        <v>730</v>
      </c>
      <c r="J1046" s="2"/>
      <c r="K1046" s="7"/>
      <c r="L1046" s="2"/>
      <c r="M1046" s="7"/>
    </row>
    <row r="1047" spans="1:13" ht="12.75">
      <c r="A1047" s="41" t="s">
        <v>88</v>
      </c>
      <c r="B1047" s="46"/>
      <c r="C1047" s="7"/>
      <c r="D1047" s="7"/>
      <c r="E1047" s="7">
        <f t="shared" si="31"/>
        <v>25.572638</v>
      </c>
      <c r="F1047" s="7"/>
      <c r="G1047" s="7"/>
      <c r="H1047" s="2"/>
      <c r="I1047" s="7">
        <f>0.0071*C1003</f>
        <v>25.572638</v>
      </c>
      <c r="J1047" s="2"/>
      <c r="K1047" s="7"/>
      <c r="L1047" s="2"/>
      <c r="M1047" s="7"/>
    </row>
    <row r="1048" spans="1:13" ht="12.75">
      <c r="A1048" s="41" t="s">
        <v>33</v>
      </c>
      <c r="B1048" s="46"/>
      <c r="C1048" s="7"/>
      <c r="D1048" s="7"/>
      <c r="E1048" s="7">
        <f t="shared" si="31"/>
        <v>3795.77</v>
      </c>
      <c r="F1048" s="15"/>
      <c r="G1048" s="7"/>
      <c r="H1048" s="2"/>
      <c r="I1048" s="7"/>
      <c r="J1048" s="2"/>
      <c r="K1048" s="7">
        <v>1871</v>
      </c>
      <c r="L1048" s="2"/>
      <c r="M1048" s="7">
        <v>1924.77</v>
      </c>
    </row>
    <row r="1049" spans="1:13" ht="12.75">
      <c r="A1049" s="41" t="s">
        <v>306</v>
      </c>
      <c r="B1049" s="46"/>
      <c r="C1049" s="7"/>
      <c r="D1049" s="7"/>
      <c r="E1049" s="7">
        <f t="shared" si="31"/>
        <v>1475</v>
      </c>
      <c r="F1049" s="15"/>
      <c r="G1049" s="7"/>
      <c r="H1049" s="2"/>
      <c r="I1049" s="7"/>
      <c r="J1049" s="2"/>
      <c r="K1049" s="7">
        <v>1475</v>
      </c>
      <c r="L1049" s="2"/>
      <c r="M1049" s="7"/>
    </row>
    <row r="1050" spans="1:13" ht="12.75">
      <c r="A1050" s="41" t="s">
        <v>147</v>
      </c>
      <c r="B1050" s="46"/>
      <c r="C1050" s="7"/>
      <c r="D1050" s="7"/>
      <c r="E1050" s="7">
        <f t="shared" si="31"/>
        <v>3433.159516</v>
      </c>
      <c r="F1050" s="7"/>
      <c r="G1050" s="7">
        <f>0.2455*C1003</f>
        <v>884.23699</v>
      </c>
      <c r="H1050" s="2"/>
      <c r="I1050" s="7">
        <f>0.5802*C1003</f>
        <v>2089.7527560000003</v>
      </c>
      <c r="J1050" s="2"/>
      <c r="K1050" s="7"/>
      <c r="L1050" s="2"/>
      <c r="M1050" s="7">
        <f>0.127*K1003</f>
        <v>459.16977</v>
      </c>
    </row>
    <row r="1051" spans="1:13" ht="12.75">
      <c r="A1051" s="48" t="s">
        <v>54</v>
      </c>
      <c r="B1051" s="49"/>
      <c r="C1051" s="50"/>
      <c r="D1051" s="50"/>
      <c r="E1051" s="50">
        <f t="shared" si="31"/>
        <v>71.48000400000001</v>
      </c>
      <c r="F1051" s="50"/>
      <c r="G1051" s="50"/>
      <c r="H1051" s="22"/>
      <c r="I1051" s="50">
        <f>0.0078*C1003</f>
        <v>28.093884</v>
      </c>
      <c r="J1051" s="22"/>
      <c r="K1051" s="50"/>
      <c r="L1051" s="22"/>
      <c r="M1051" s="50">
        <f>0.012*K1003</f>
        <v>43.386120000000005</v>
      </c>
    </row>
    <row r="1052" spans="1:13" ht="12.75">
      <c r="A1052" s="48" t="s">
        <v>414</v>
      </c>
      <c r="B1052" s="49"/>
      <c r="C1052" s="50"/>
      <c r="D1052" s="50"/>
      <c r="E1052" s="50">
        <f t="shared" si="31"/>
        <v>2200</v>
      </c>
      <c r="F1052" s="50"/>
      <c r="G1052" s="50"/>
      <c r="H1052" s="22"/>
      <c r="I1052" s="50"/>
      <c r="J1052" s="22"/>
      <c r="K1052" s="50"/>
      <c r="L1052" s="22"/>
      <c r="M1052" s="50">
        <v>2200</v>
      </c>
    </row>
    <row r="1053" spans="1:13" ht="12.75">
      <c r="A1053" s="48" t="s">
        <v>415</v>
      </c>
      <c r="B1053" s="49"/>
      <c r="C1053" s="50"/>
      <c r="D1053" s="50"/>
      <c r="E1053" s="50">
        <f t="shared" si="31"/>
        <v>4115</v>
      </c>
      <c r="F1053" s="50"/>
      <c r="G1053" s="50"/>
      <c r="H1053" s="22"/>
      <c r="I1053" s="50"/>
      <c r="J1053" s="22"/>
      <c r="K1053" s="50"/>
      <c r="L1053" s="22"/>
      <c r="M1053" s="50">
        <v>4115</v>
      </c>
    </row>
    <row r="1054" spans="1:13" ht="13.5" thickBot="1">
      <c r="A1054" s="48" t="s">
        <v>305</v>
      </c>
      <c r="B1054" s="49"/>
      <c r="C1054" s="50"/>
      <c r="D1054" s="50"/>
      <c r="E1054" s="50">
        <f t="shared" si="31"/>
        <v>85414</v>
      </c>
      <c r="F1054" s="50"/>
      <c r="G1054" s="50"/>
      <c r="H1054" s="22"/>
      <c r="I1054" s="50"/>
      <c r="J1054" s="22"/>
      <c r="K1054" s="50">
        <v>85414</v>
      </c>
      <c r="L1054" s="22"/>
      <c r="M1054" s="50"/>
    </row>
    <row r="1055" spans="1:13" ht="13.5" thickBot="1">
      <c r="A1055" s="59" t="s">
        <v>10</v>
      </c>
      <c r="B1055" s="81"/>
      <c r="C1055" s="63"/>
      <c r="D1055" s="63"/>
      <c r="E1055" s="63">
        <f t="shared" si="31"/>
        <v>389421.2092837</v>
      </c>
      <c r="F1055" s="63"/>
      <c r="G1055" s="63">
        <f>SUM(G1028:G1051)</f>
        <v>40298.7781038</v>
      </c>
      <c r="H1055" s="26"/>
      <c r="I1055" s="63">
        <f>SUM(I1028:I1051)</f>
        <v>68705.1005626</v>
      </c>
      <c r="J1055" s="26"/>
      <c r="K1055" s="63">
        <f>SUM(K1028:K1054)</f>
        <v>155826.88145400002</v>
      </c>
      <c r="L1055" s="26"/>
      <c r="M1055" s="29">
        <f>SUM(M1028:M1054)</f>
        <v>124590.4491633</v>
      </c>
    </row>
    <row r="1056" spans="1:13" ht="12.75">
      <c r="A1056" s="60" t="s">
        <v>42</v>
      </c>
      <c r="B1056" s="55"/>
      <c r="C1056" s="66"/>
      <c r="D1056" s="66"/>
      <c r="E1056" s="56">
        <f t="shared" si="31"/>
        <v>0</v>
      </c>
      <c r="F1056" s="66"/>
      <c r="G1056" s="56"/>
      <c r="H1056" s="74"/>
      <c r="I1056" s="56"/>
      <c r="J1056" s="74"/>
      <c r="K1056" s="56"/>
      <c r="L1056" s="74"/>
      <c r="M1056" s="56"/>
    </row>
    <row r="1057" spans="1:13" ht="12.75">
      <c r="A1057" s="41" t="s">
        <v>56</v>
      </c>
      <c r="B1057" s="46"/>
      <c r="C1057" s="7"/>
      <c r="D1057" s="7"/>
      <c r="E1057" s="7">
        <f t="shared" si="31"/>
        <v>0</v>
      </c>
      <c r="F1057" s="7"/>
      <c r="G1057" s="7"/>
      <c r="H1057" s="2"/>
      <c r="I1057" s="7"/>
      <c r="J1057" s="2"/>
      <c r="K1057" s="7"/>
      <c r="L1057" s="2"/>
      <c r="M1057" s="7"/>
    </row>
    <row r="1058" spans="1:13" ht="12.75">
      <c r="A1058" s="41" t="s">
        <v>375</v>
      </c>
      <c r="B1058" s="46"/>
      <c r="C1058" s="7"/>
      <c r="D1058" s="7"/>
      <c r="E1058" s="7">
        <f t="shared" si="31"/>
        <v>267.2</v>
      </c>
      <c r="F1058" s="7"/>
      <c r="G1058" s="7"/>
      <c r="H1058" s="2"/>
      <c r="I1058" s="7"/>
      <c r="J1058" s="2"/>
      <c r="K1058" s="7"/>
      <c r="L1058" s="2"/>
      <c r="M1058" s="7">
        <v>267.2</v>
      </c>
    </row>
    <row r="1059" spans="1:13" ht="12.75">
      <c r="A1059" s="130" t="s">
        <v>302</v>
      </c>
      <c r="B1059" s="46"/>
      <c r="C1059" s="7"/>
      <c r="D1059" s="7"/>
      <c r="E1059" s="7">
        <f t="shared" si="31"/>
        <v>400</v>
      </c>
      <c r="F1059" s="7"/>
      <c r="G1059" s="7">
        <v>150</v>
      </c>
      <c r="H1059" s="2"/>
      <c r="I1059" s="7"/>
      <c r="J1059" s="2"/>
      <c r="K1059" s="7">
        <v>250</v>
      </c>
      <c r="L1059" s="2"/>
      <c r="M1059" s="7"/>
    </row>
    <row r="1060" spans="1:13" ht="12.75">
      <c r="A1060" s="41" t="s">
        <v>16</v>
      </c>
      <c r="B1060" s="46"/>
      <c r="C1060" s="7"/>
      <c r="D1060" s="7"/>
      <c r="E1060" s="7">
        <f t="shared" si="31"/>
        <v>128.95151</v>
      </c>
      <c r="F1060" s="7"/>
      <c r="G1060" s="7">
        <f>0.0089*C1003</f>
        <v>32.055842</v>
      </c>
      <c r="H1060" s="2"/>
      <c r="I1060" s="7"/>
      <c r="J1060" s="2"/>
      <c r="K1060" s="7"/>
      <c r="L1060" s="2"/>
      <c r="M1060" s="7">
        <f>0.0268*K1003</f>
        <v>96.89566800000001</v>
      </c>
    </row>
    <row r="1061" spans="1:13" ht="12.75">
      <c r="A1061" s="41" t="s">
        <v>198</v>
      </c>
      <c r="B1061" s="46"/>
      <c r="C1061" s="7"/>
      <c r="D1061" s="7"/>
      <c r="E1061" s="7">
        <f t="shared" si="31"/>
        <v>22.4</v>
      </c>
      <c r="F1061" s="7"/>
      <c r="G1061" s="7"/>
      <c r="H1061" s="2"/>
      <c r="I1061" s="7"/>
      <c r="J1061" s="2"/>
      <c r="K1061" s="7">
        <v>22.4</v>
      </c>
      <c r="L1061" s="2"/>
      <c r="M1061" s="7"/>
    </row>
    <row r="1062" spans="1:13" ht="13.5" thickBot="1">
      <c r="A1062" s="142" t="s">
        <v>10</v>
      </c>
      <c r="B1062" s="143"/>
      <c r="C1062" s="144"/>
      <c r="D1062" s="144"/>
      <c r="E1062" s="7">
        <f t="shared" si="31"/>
        <v>818.55151</v>
      </c>
      <c r="F1062" s="144"/>
      <c r="G1062" s="144">
        <f>SUM(G1057:G1060)</f>
        <v>182.05584199999998</v>
      </c>
      <c r="H1062" s="32"/>
      <c r="I1062" s="144"/>
      <c r="J1062" s="32"/>
      <c r="K1062" s="144">
        <f>SUM(K1057:K1061)</f>
        <v>272.4</v>
      </c>
      <c r="L1062" s="32"/>
      <c r="M1062" s="145">
        <f>SUM(M1057:M1061)</f>
        <v>364.095668</v>
      </c>
    </row>
    <row r="1063" spans="1:13" ht="13.5" thickBot="1">
      <c r="A1063" s="64" t="s">
        <v>29</v>
      </c>
      <c r="B1063" s="81"/>
      <c r="C1063" s="63"/>
      <c r="D1063" s="63"/>
      <c r="E1063" s="63">
        <f t="shared" si="31"/>
        <v>8275.265566</v>
      </c>
      <c r="F1063" s="63"/>
      <c r="G1063" s="63">
        <f>0.4236*C1003</f>
        <v>1525.714008</v>
      </c>
      <c r="H1063" s="26"/>
      <c r="I1063" s="63">
        <f>0.5971*C1003</f>
        <v>2150.622838</v>
      </c>
      <c r="J1063" s="26"/>
      <c r="K1063" s="63"/>
      <c r="L1063" s="26"/>
      <c r="M1063" s="29">
        <f>1.272*K1003</f>
        <v>4598.928720000001</v>
      </c>
    </row>
    <row r="1064" spans="1:13" ht="21.75">
      <c r="A1064" s="65" t="s">
        <v>83</v>
      </c>
      <c r="B1064" s="61"/>
      <c r="C1064" s="56"/>
      <c r="D1064" s="56"/>
      <c r="E1064" s="56">
        <f t="shared" si="31"/>
        <v>669378.7861065</v>
      </c>
      <c r="F1064" s="56"/>
      <c r="G1064" s="56">
        <f>G1026+G1055+G1062+G1063</f>
        <v>109802.882741</v>
      </c>
      <c r="H1064" s="74"/>
      <c r="I1064" s="56">
        <f>I1026+I1055+I1062+I1063</f>
        <v>148086.6527874</v>
      </c>
      <c r="J1064" s="74"/>
      <c r="K1064" s="56">
        <f>K1026+K1055+K1062+K1063</f>
        <v>219372.0401368</v>
      </c>
      <c r="L1064" s="74"/>
      <c r="M1064" s="56">
        <f>M1026+M1055+M1062+M1063</f>
        <v>192117.21044129998</v>
      </c>
    </row>
    <row r="1065" spans="1:13" ht="33.75">
      <c r="A1065" s="67" t="s">
        <v>84</v>
      </c>
      <c r="B1065" s="46"/>
      <c r="C1065" s="7"/>
      <c r="D1065" s="7"/>
      <c r="E1065" s="8">
        <f>E1064/12/C1003</f>
        <v>15.487221737272959</v>
      </c>
      <c r="F1065" s="7"/>
      <c r="G1065" s="8">
        <f>G1064/3/C1003</f>
        <v>10.161909087636296</v>
      </c>
      <c r="H1065" s="2"/>
      <c r="I1065" s="8">
        <f>I1064/3/C1003</f>
        <v>13.704950773173264</v>
      </c>
      <c r="J1065" s="2"/>
      <c r="K1065" s="8">
        <f>K1064/3/K1003</f>
        <v>20.22508951128149</v>
      </c>
      <c r="L1065" s="2"/>
      <c r="M1065" s="8">
        <f>M1064/3/K1003</f>
        <v>17.712320017673854</v>
      </c>
    </row>
    <row r="1066" spans="1:13" ht="12.75">
      <c r="A1066" s="69" t="s">
        <v>20</v>
      </c>
      <c r="B1066" s="44"/>
      <c r="C1066" s="45"/>
      <c r="D1066" s="45"/>
      <c r="E1066" s="45">
        <f>E1008-E1064</f>
        <v>-309690.7461065</v>
      </c>
      <c r="F1066" s="45"/>
      <c r="G1066" s="7">
        <f>G1008-G1064</f>
        <v>-3209.4627409999957</v>
      </c>
      <c r="H1066" s="2"/>
      <c r="I1066" s="7">
        <f>I1008-I1064-3209</f>
        <v>-57490.342787400004</v>
      </c>
      <c r="J1066" s="2"/>
      <c r="K1066" s="7">
        <f>K1008-K1064-57490</f>
        <v>-205753.5001368</v>
      </c>
      <c r="L1066" s="2"/>
      <c r="M1066" s="7">
        <f>M1008-M1064-205754</f>
        <v>-309690.4404413</v>
      </c>
    </row>
    <row r="1067" spans="1:13" ht="12.75">
      <c r="A1067" s="14" t="s">
        <v>24</v>
      </c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1:13" ht="12.75">
      <c r="A1068" s="14" t="s">
        <v>35</v>
      </c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1:13" ht="12.75">
      <c r="A1069" s="14" t="s">
        <v>25</v>
      </c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1:13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1:13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1:13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1:13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1:13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1:13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1:13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1:13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1:13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1:13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1:13" ht="12.75" hidden="1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1:13" ht="12.75" hidden="1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1:13" ht="12.75" hidden="1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1:13" ht="12" customHeight="1" hidden="1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1:13" ht="12.75" hidden="1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1:13" ht="12.75" hidden="1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1:13" ht="12.75" hidden="1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1:13" ht="12.75" hidden="1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1:13" ht="12.75" hidden="1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1:13" ht="12.75" hidden="1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1:13" ht="12.75" hidden="1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1:13" ht="12.75" hidden="1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1:13" ht="12.75" hidden="1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1:13" ht="12.75">
      <c r="A1093" s="31" t="s">
        <v>21</v>
      </c>
      <c r="B1093" s="31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1:13" ht="12.75">
      <c r="A1094" s="14" t="s">
        <v>31</v>
      </c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1:13" ht="12.75">
      <c r="A1095" s="14" t="s">
        <v>41</v>
      </c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1:13" ht="12.75">
      <c r="A1096" s="14" t="s">
        <v>112</v>
      </c>
      <c r="B1096" s="14"/>
      <c r="C1096" s="14"/>
      <c r="D1096" s="14"/>
      <c r="E1096" s="14" t="s">
        <v>32</v>
      </c>
      <c r="F1096" s="14"/>
      <c r="G1096" s="14"/>
      <c r="H1096" s="14"/>
      <c r="I1096" s="14"/>
      <c r="J1096" s="14"/>
      <c r="K1096" s="14"/>
      <c r="L1096" s="14"/>
      <c r="M1096" s="14"/>
    </row>
    <row r="1097" spans="1:13" ht="12.75" customHeight="1">
      <c r="A1097" s="6" t="s">
        <v>0</v>
      </c>
      <c r="B1097" s="151" t="s">
        <v>38</v>
      </c>
      <c r="C1097" s="152"/>
      <c r="D1097" s="149" t="s">
        <v>39</v>
      </c>
      <c r="E1097" s="150"/>
      <c r="F1097" s="149" t="s">
        <v>96</v>
      </c>
      <c r="G1097" s="150"/>
      <c r="H1097" s="149" t="s">
        <v>97</v>
      </c>
      <c r="I1097" s="150"/>
      <c r="J1097" s="149" t="s">
        <v>98</v>
      </c>
      <c r="K1097" s="150"/>
      <c r="L1097" s="149" t="s">
        <v>99</v>
      </c>
      <c r="M1097" s="150"/>
    </row>
    <row r="1098" spans="1:13" ht="12.75">
      <c r="A1098" s="11" t="s">
        <v>5</v>
      </c>
      <c r="B1098" s="153"/>
      <c r="C1098" s="154"/>
      <c r="D1098" s="6" t="s">
        <v>40</v>
      </c>
      <c r="E1098" s="6" t="s">
        <v>22</v>
      </c>
      <c r="F1098" s="6" t="s">
        <v>40</v>
      </c>
      <c r="G1098" s="13" t="s">
        <v>22</v>
      </c>
      <c r="H1098" s="2"/>
      <c r="I1098" s="2"/>
      <c r="J1098" s="2"/>
      <c r="K1098" s="2"/>
      <c r="L1098" s="2"/>
      <c r="M1098" s="2"/>
    </row>
    <row r="1099" spans="1:13" ht="12.75">
      <c r="A1099" s="2" t="s">
        <v>1</v>
      </c>
      <c r="B1099" s="2"/>
      <c r="C1099" s="6">
        <v>5</v>
      </c>
      <c r="D1099" s="2"/>
      <c r="E1099" s="2"/>
      <c r="F1099" s="2"/>
      <c r="G1099" s="2"/>
      <c r="H1099" s="2"/>
      <c r="I1099" s="2"/>
      <c r="J1099" s="2"/>
      <c r="K1099" s="2"/>
      <c r="L1099" s="2"/>
      <c r="M1099" s="2"/>
    </row>
    <row r="1100" spans="1:13" ht="12.75">
      <c r="A1100" s="2" t="s">
        <v>2</v>
      </c>
      <c r="B1100" s="2"/>
      <c r="C1100" s="6">
        <v>6</v>
      </c>
      <c r="D1100" s="2"/>
      <c r="E1100" s="2"/>
      <c r="F1100" s="2"/>
      <c r="G1100" s="2"/>
      <c r="H1100" s="2"/>
      <c r="I1100" s="2"/>
      <c r="J1100" s="2"/>
      <c r="K1100" s="2"/>
      <c r="L1100" s="2"/>
      <c r="M1100" s="2"/>
    </row>
    <row r="1101" spans="1:13" ht="12.75">
      <c r="A1101" s="2" t="s">
        <v>3</v>
      </c>
      <c r="B1101" s="2"/>
      <c r="C1101" s="6">
        <v>60</v>
      </c>
      <c r="D1101" s="2"/>
      <c r="E1101" s="2"/>
      <c r="F1101" s="2"/>
      <c r="G1101" s="2"/>
      <c r="H1101" s="2"/>
      <c r="I1101" s="2"/>
      <c r="J1101" s="2"/>
      <c r="K1101" s="2"/>
      <c r="L1101" s="2"/>
      <c r="M1101" s="2"/>
    </row>
    <row r="1102" spans="1:13" ht="12.75">
      <c r="A1102" s="2" t="s">
        <v>4</v>
      </c>
      <c r="B1102" s="6"/>
      <c r="C1102" s="8">
        <v>3618</v>
      </c>
      <c r="D1102" s="6"/>
      <c r="E1102" s="6"/>
      <c r="F1102" s="6"/>
      <c r="G1102" s="2"/>
      <c r="H1102" s="2"/>
      <c r="I1102" s="2"/>
      <c r="J1102" s="2"/>
      <c r="K1102" s="2">
        <v>3625.83</v>
      </c>
      <c r="L1102" s="2"/>
      <c r="M1102" s="2"/>
    </row>
    <row r="1103" spans="1:13" ht="21.75">
      <c r="A1103" s="35" t="s">
        <v>6</v>
      </c>
      <c r="B1103" s="11" t="s">
        <v>40</v>
      </c>
      <c r="C1103" s="2" t="s">
        <v>22</v>
      </c>
      <c r="D1103" s="2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1:13" ht="22.5">
      <c r="A1104" s="40" t="s">
        <v>7</v>
      </c>
      <c r="B1104" s="3"/>
      <c r="C1104" s="6"/>
      <c r="D1104" s="6"/>
      <c r="E1104" s="6">
        <f>G1104+I1104+K1104+M1104</f>
        <v>374287.93999999994</v>
      </c>
      <c r="F1104" s="2"/>
      <c r="G1104" s="2">
        <v>95315.04</v>
      </c>
      <c r="H1104" s="2"/>
      <c r="I1104" s="6">
        <v>88569.08</v>
      </c>
      <c r="J1104" s="2"/>
      <c r="K1104" s="2">
        <v>94180.97</v>
      </c>
      <c r="L1104" s="2"/>
      <c r="M1104" s="2">
        <v>96222.85</v>
      </c>
    </row>
    <row r="1105" spans="1:13" ht="12.75">
      <c r="A1105" s="41" t="s">
        <v>8</v>
      </c>
      <c r="B1105" s="3"/>
      <c r="C1105" s="6"/>
      <c r="D1105" s="6"/>
      <c r="E1105" s="6"/>
      <c r="F1105" s="2"/>
      <c r="G1105" s="2"/>
      <c r="H1105" s="2"/>
      <c r="I1105" s="6"/>
      <c r="J1105" s="2"/>
      <c r="K1105" s="2"/>
      <c r="L1105" s="2"/>
      <c r="M1105" s="2"/>
    </row>
    <row r="1106" spans="1:13" ht="12.75">
      <c r="A1106" s="41" t="s">
        <v>9</v>
      </c>
      <c r="B1106" s="3"/>
      <c r="C1106" s="6"/>
      <c r="D1106" s="6"/>
      <c r="E1106" s="6"/>
      <c r="F1106" s="2"/>
      <c r="G1106" s="2"/>
      <c r="H1106" s="2"/>
      <c r="I1106" s="6"/>
      <c r="J1106" s="2"/>
      <c r="K1106" s="2"/>
      <c r="L1106" s="2"/>
      <c r="M1106" s="2"/>
    </row>
    <row r="1107" spans="1:13" ht="12.75">
      <c r="A1107" s="2" t="s">
        <v>10</v>
      </c>
      <c r="B1107" s="42"/>
      <c r="C1107" s="11"/>
      <c r="D1107" s="11"/>
      <c r="E1107" s="11">
        <f>SUM(E1104:E1106)</f>
        <v>374287.93999999994</v>
      </c>
      <c r="F1107" s="37"/>
      <c r="G1107" s="37">
        <f>SUM(G1104:G1106)</f>
        <v>95315.04</v>
      </c>
      <c r="H1107" s="2"/>
      <c r="I1107" s="6">
        <f>SUM(I1104:I1106)</f>
        <v>88569.08</v>
      </c>
      <c r="J1107" s="2"/>
      <c r="K1107" s="2">
        <f>SUM(K1104:K1106)</f>
        <v>94180.97</v>
      </c>
      <c r="L1107" s="2"/>
      <c r="M1107" s="2">
        <f>SUM(M1104:M1106)</f>
        <v>96222.85</v>
      </c>
    </row>
    <row r="1108" spans="1:13" ht="21.75">
      <c r="A1108" s="35" t="s">
        <v>82</v>
      </c>
      <c r="B1108" s="4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ht="12.75">
      <c r="A1109" s="43" t="s">
        <v>11</v>
      </c>
      <c r="B1109" s="44"/>
      <c r="C1109" s="45"/>
      <c r="D1109" s="45"/>
      <c r="E1109" s="7">
        <f>G1109+I1109+K1109+M1109</f>
        <v>118137.3551568</v>
      </c>
      <c r="F1109" s="45"/>
      <c r="G1109" s="7">
        <f>7.99407*C1102</f>
        <v>28922.54526</v>
      </c>
      <c r="H1109" s="2"/>
      <c r="I1109" s="7">
        <f>9.57707*C1102</f>
        <v>34649.83926</v>
      </c>
      <c r="J1109" s="2"/>
      <c r="K1109" s="7">
        <f>7.32829*K1102</f>
        <v>26571.1337307</v>
      </c>
      <c r="L1109" s="2"/>
      <c r="M1109" s="7">
        <f>7.72067*K1102</f>
        <v>27993.8369061</v>
      </c>
    </row>
    <row r="1110" spans="1:13" ht="12.75">
      <c r="A1110" s="43" t="s">
        <v>12</v>
      </c>
      <c r="B1110" s="46"/>
      <c r="C1110" s="7"/>
      <c r="D1110" s="7"/>
      <c r="E1110" s="7">
        <f aca="true" t="shared" si="32" ref="E1110:E1159">G1110+I1110+K1110+M1110</f>
        <v>0</v>
      </c>
      <c r="F1110" s="7"/>
      <c r="G1110" s="7"/>
      <c r="H1110" s="2"/>
      <c r="I1110" s="7"/>
      <c r="J1110" s="2"/>
      <c r="K1110" s="7"/>
      <c r="L1110" s="2"/>
      <c r="M1110" s="7"/>
    </row>
    <row r="1111" spans="1:13" ht="12.75">
      <c r="A1111" s="41" t="s">
        <v>13</v>
      </c>
      <c r="B1111" s="46"/>
      <c r="C1111" s="7"/>
      <c r="D1111" s="7"/>
      <c r="E1111" s="7">
        <f t="shared" si="32"/>
        <v>151251.7878467</v>
      </c>
      <c r="F1111" s="7"/>
      <c r="G1111" s="7">
        <f>G1112+G1114+G1115+G1116+G1117+G1118+G1119+G1120+G1121+G1122+G1123</f>
        <v>36094.51906</v>
      </c>
      <c r="H1111" s="2"/>
      <c r="I1111" s="7">
        <f>I1112+I1114+I1115+I1116+I1117+I1118+I1119+I1120+I1121+I1122+I1123</f>
        <v>40036.44582</v>
      </c>
      <c r="J1111" s="2"/>
      <c r="K1111" s="7">
        <f>K1112+K1114+K1115+K1116+K1117+K1118+K1119+K1120+K1121+K1122+K1123</f>
        <v>40113.4395967</v>
      </c>
      <c r="L1111" s="2"/>
      <c r="M1111" s="7">
        <f>M1112+M1114+M1115+M1116+M1117+M1118+M1119+M1120+M1121+M1122+M1123</f>
        <v>35007.383369999996</v>
      </c>
    </row>
    <row r="1112" spans="1:13" ht="12.75">
      <c r="A1112" s="47" t="s">
        <v>14</v>
      </c>
      <c r="B1112" s="46"/>
      <c r="C1112" s="71"/>
      <c r="D1112" s="7"/>
      <c r="E1112" s="7">
        <f t="shared" si="32"/>
        <v>130433</v>
      </c>
      <c r="F1112" s="7"/>
      <c r="G1112" s="7">
        <v>33690</v>
      </c>
      <c r="H1112" s="2"/>
      <c r="I1112" s="7">
        <v>32613</v>
      </c>
      <c r="J1112" s="2"/>
      <c r="K1112" s="7">
        <v>34222</v>
      </c>
      <c r="L1112" s="2"/>
      <c r="M1112" s="7">
        <v>29908</v>
      </c>
    </row>
    <row r="1113" spans="1:13" ht="12.75">
      <c r="A1113" s="41" t="s">
        <v>19</v>
      </c>
      <c r="B1113" s="46"/>
      <c r="C1113" s="71"/>
      <c r="D1113" s="7"/>
      <c r="E1113" s="7">
        <f t="shared" si="32"/>
        <v>86434.15</v>
      </c>
      <c r="F1113" s="7"/>
      <c r="G1113" s="7">
        <v>21619.15</v>
      </c>
      <c r="H1113" s="2"/>
      <c r="I1113" s="7">
        <v>21619</v>
      </c>
      <c r="J1113" s="2"/>
      <c r="K1113" s="7">
        <v>21598</v>
      </c>
      <c r="L1113" s="2"/>
      <c r="M1113" s="7">
        <v>21598</v>
      </c>
    </row>
    <row r="1114" spans="1:13" ht="12.75">
      <c r="A1114" s="41" t="s">
        <v>18</v>
      </c>
      <c r="B1114" s="46"/>
      <c r="C1114" s="7"/>
      <c r="D1114" s="7"/>
      <c r="E1114" s="7">
        <f t="shared" si="32"/>
        <v>1344.8899999999999</v>
      </c>
      <c r="F1114" s="7"/>
      <c r="G1114" s="7">
        <v>210.88</v>
      </c>
      <c r="H1114" s="2"/>
      <c r="I1114" s="7">
        <v>296.8</v>
      </c>
      <c r="J1114" s="2"/>
      <c r="K1114" s="7">
        <v>401.9</v>
      </c>
      <c r="L1114" s="2"/>
      <c r="M1114" s="7">
        <v>435.31</v>
      </c>
    </row>
    <row r="1115" spans="1:13" ht="12.75">
      <c r="A1115" s="41" t="s">
        <v>53</v>
      </c>
      <c r="B1115" s="46"/>
      <c r="C1115" s="7"/>
      <c r="D1115" s="7"/>
      <c r="E1115" s="7">
        <f t="shared" si="32"/>
        <v>6967.8291717</v>
      </c>
      <c r="F1115" s="7"/>
      <c r="G1115" s="7">
        <f>0.54857*C1102</f>
        <v>1984.72626</v>
      </c>
      <c r="H1115" s="2"/>
      <c r="I1115" s="7">
        <f>0.53049*C1102</f>
        <v>1919.31282</v>
      </c>
      <c r="J1115" s="2"/>
      <c r="K1115" s="7">
        <f>0.60599*K1102</f>
        <v>2197.2167217</v>
      </c>
      <c r="L1115" s="2"/>
      <c r="M1115" s="7">
        <f>0.239*K1102</f>
        <v>866.57337</v>
      </c>
    </row>
    <row r="1116" spans="1:13" ht="12.75">
      <c r="A1116" s="41" t="s">
        <v>148</v>
      </c>
      <c r="B1116" s="46"/>
      <c r="C1116" s="7"/>
      <c r="D1116" s="7"/>
      <c r="E1116" s="7">
        <f t="shared" si="32"/>
        <v>1470.5</v>
      </c>
      <c r="F1116" s="7"/>
      <c r="G1116" s="7">
        <v>138</v>
      </c>
      <c r="H1116" s="2"/>
      <c r="I1116" s="7">
        <v>782.5</v>
      </c>
      <c r="J1116" s="2"/>
      <c r="K1116" s="7">
        <v>550</v>
      </c>
      <c r="L1116" s="2"/>
      <c r="M1116" s="7"/>
    </row>
    <row r="1117" spans="1:13" ht="12.75">
      <c r="A1117" s="41" t="s">
        <v>27</v>
      </c>
      <c r="B1117" s="46"/>
      <c r="C1117" s="7"/>
      <c r="D1117" s="7"/>
      <c r="E1117" s="7">
        <f t="shared" si="32"/>
        <v>1539</v>
      </c>
      <c r="F1117" s="7"/>
      <c r="G1117" s="7"/>
      <c r="H1117" s="2"/>
      <c r="I1117" s="7">
        <v>1539</v>
      </c>
      <c r="J1117" s="2"/>
      <c r="K1117" s="7"/>
      <c r="L1117" s="2"/>
      <c r="M1117" s="7"/>
    </row>
    <row r="1118" spans="1:13" ht="12.75">
      <c r="A1118" s="41" t="s">
        <v>36</v>
      </c>
      <c r="B1118" s="46"/>
      <c r="C1118" s="7"/>
      <c r="D1118" s="7"/>
      <c r="E1118" s="7">
        <f t="shared" si="32"/>
        <v>7722.5</v>
      </c>
      <c r="F1118" s="7"/>
      <c r="G1118" s="7"/>
      <c r="H1118" s="2" t="s">
        <v>233</v>
      </c>
      <c r="I1118" s="7">
        <v>1228</v>
      </c>
      <c r="J1118" s="2" t="s">
        <v>308</v>
      </c>
      <c r="K1118" s="7">
        <v>2697</v>
      </c>
      <c r="L1118" s="2" t="s">
        <v>416</v>
      </c>
      <c r="M1118" s="7">
        <v>3797.5</v>
      </c>
    </row>
    <row r="1119" spans="1:13" ht="12.75">
      <c r="A1119" s="41" t="s">
        <v>58</v>
      </c>
      <c r="B1119" s="46"/>
      <c r="C1119" s="7"/>
      <c r="D1119" s="7"/>
      <c r="E1119" s="7">
        <f t="shared" si="32"/>
        <v>0</v>
      </c>
      <c r="F1119" s="7"/>
      <c r="G1119" s="7"/>
      <c r="H1119" s="2"/>
      <c r="I1119" s="7"/>
      <c r="J1119" s="2"/>
      <c r="K1119" s="7"/>
      <c r="L1119" s="2"/>
      <c r="M1119" s="7"/>
    </row>
    <row r="1120" spans="1:13" ht="12.75">
      <c r="A1120" s="41" t="s">
        <v>43</v>
      </c>
      <c r="B1120" s="46"/>
      <c r="C1120" s="7"/>
      <c r="D1120" s="7"/>
      <c r="E1120" s="7">
        <f t="shared" si="32"/>
        <v>0</v>
      </c>
      <c r="F1120" s="7"/>
      <c r="G1120" s="7"/>
      <c r="H1120" s="2"/>
      <c r="I1120" s="7"/>
      <c r="J1120" s="2"/>
      <c r="K1120" s="7"/>
      <c r="L1120" s="2"/>
      <c r="M1120" s="7"/>
    </row>
    <row r="1121" spans="1:13" ht="12.75">
      <c r="A1121" s="41" t="s">
        <v>30</v>
      </c>
      <c r="B1121" s="46"/>
      <c r="C1121" s="7"/>
      <c r="D1121" s="7"/>
      <c r="E1121" s="7">
        <f t="shared" si="32"/>
        <v>1410</v>
      </c>
      <c r="F1121" s="7"/>
      <c r="G1121" s="7"/>
      <c r="H1121" s="2"/>
      <c r="I1121" s="7">
        <v>1410</v>
      </c>
      <c r="J1121" s="2"/>
      <c r="K1121" s="7"/>
      <c r="L1121" s="2"/>
      <c r="M1121" s="7"/>
    </row>
    <row r="1122" spans="1:13" ht="12.75">
      <c r="A1122" s="41" t="s">
        <v>54</v>
      </c>
      <c r="B1122" s="46"/>
      <c r="C1122" s="7"/>
      <c r="D1122" s="7"/>
      <c r="E1122" s="7">
        <f t="shared" si="32"/>
        <v>70.9128</v>
      </c>
      <c r="F1122" s="7"/>
      <c r="G1122" s="7">
        <f>0.0196*C1102</f>
        <v>70.9128</v>
      </c>
      <c r="H1122" s="2"/>
      <c r="I1122" s="7"/>
      <c r="J1122" s="2"/>
      <c r="K1122" s="7"/>
      <c r="L1122" s="2"/>
      <c r="M1122" s="7"/>
    </row>
    <row r="1123" spans="1:13" ht="13.5" thickBot="1">
      <c r="A1123" s="48" t="s">
        <v>55</v>
      </c>
      <c r="B1123" s="49"/>
      <c r="C1123" s="50"/>
      <c r="D1123" s="50"/>
      <c r="E1123" s="50">
        <f t="shared" si="32"/>
        <v>293.15587500000004</v>
      </c>
      <c r="F1123" s="50"/>
      <c r="G1123" s="50"/>
      <c r="H1123" s="22"/>
      <c r="I1123" s="50">
        <f>0.0685*C1102</f>
        <v>247.83300000000003</v>
      </c>
      <c r="J1123" s="22"/>
      <c r="K1123" s="50">
        <f>0.0125*K1102</f>
        <v>45.322875</v>
      </c>
      <c r="L1123" s="22"/>
      <c r="M1123" s="50"/>
    </row>
    <row r="1124" spans="1:13" ht="13.5" thickBot="1">
      <c r="A1124" s="51" t="s">
        <v>76</v>
      </c>
      <c r="B1124" s="81"/>
      <c r="C1124" s="63"/>
      <c r="D1124" s="27"/>
      <c r="E1124" s="34">
        <f t="shared" si="32"/>
        <v>269389.1430035</v>
      </c>
      <c r="F1124" s="96"/>
      <c r="G1124" s="63">
        <f>G1109+G1111</f>
        <v>65017.06432</v>
      </c>
      <c r="H1124" s="26"/>
      <c r="I1124" s="63">
        <f>I1109+I1111</f>
        <v>74686.28508</v>
      </c>
      <c r="J1124" s="26"/>
      <c r="K1124" s="63">
        <f>K1109+K1111</f>
        <v>66684.5733274</v>
      </c>
      <c r="L1124" s="26"/>
      <c r="M1124" s="29">
        <f>M1109+M1111</f>
        <v>63001.22027609999</v>
      </c>
    </row>
    <row r="1125" spans="1:13" ht="21.75">
      <c r="A1125" s="54" t="s">
        <v>15</v>
      </c>
      <c r="B1125" s="55"/>
      <c r="C1125" s="66"/>
      <c r="D1125" s="66"/>
      <c r="E1125" s="56">
        <f t="shared" si="32"/>
        <v>0</v>
      </c>
      <c r="F1125" s="66"/>
      <c r="G1125" s="56"/>
      <c r="H1125" s="74"/>
      <c r="I1125" s="56"/>
      <c r="J1125" s="74"/>
      <c r="K1125" s="56"/>
      <c r="L1125" s="74"/>
      <c r="M1125" s="56"/>
    </row>
    <row r="1126" spans="1:13" ht="12.75">
      <c r="A1126" s="41" t="s">
        <v>17</v>
      </c>
      <c r="B1126" s="46"/>
      <c r="C1126" s="7"/>
      <c r="D1126" s="7"/>
      <c r="E1126" s="7">
        <f t="shared" si="32"/>
        <v>102399.98526090001</v>
      </c>
      <c r="F1126" s="7"/>
      <c r="G1126" s="7">
        <f>6.73321*C1102</f>
        <v>24360.75378</v>
      </c>
      <c r="H1126" s="2"/>
      <c r="I1126" s="7">
        <f>7.02207*C1102</f>
        <v>25405.849260000003</v>
      </c>
      <c r="J1126" s="2"/>
      <c r="K1126" s="7">
        <f>7.2754*K1102</f>
        <v>26379.363582</v>
      </c>
      <c r="L1126" s="2"/>
      <c r="M1126" s="7">
        <f>7.24083*K1102</f>
        <v>26254.018638899997</v>
      </c>
    </row>
    <row r="1127" spans="1:13" ht="12.75">
      <c r="A1127" s="41" t="s">
        <v>235</v>
      </c>
      <c r="B1127" s="46"/>
      <c r="C1127" s="71"/>
      <c r="D1127" s="7"/>
      <c r="E1127" s="7">
        <f t="shared" si="32"/>
        <v>30036.1</v>
      </c>
      <c r="F1127" s="7"/>
      <c r="G1127" s="7"/>
      <c r="H1127" s="2"/>
      <c r="I1127" s="7">
        <v>27283</v>
      </c>
      <c r="J1127" s="2"/>
      <c r="K1127" s="7">
        <v>2753.1</v>
      </c>
      <c r="L1127" s="2"/>
      <c r="M1127" s="7"/>
    </row>
    <row r="1128" spans="1:13" ht="12.75">
      <c r="A1128" s="41" t="s">
        <v>67</v>
      </c>
      <c r="B1128" s="46"/>
      <c r="C1128" s="7"/>
      <c r="D1128" s="7"/>
      <c r="E1128" s="7">
        <f t="shared" si="32"/>
        <v>12722.1</v>
      </c>
      <c r="F1128" s="7"/>
      <c r="G1128" s="7"/>
      <c r="H1128" s="2"/>
      <c r="I1128" s="7">
        <v>10344</v>
      </c>
      <c r="J1128" s="2"/>
      <c r="K1128" s="7">
        <v>1750</v>
      </c>
      <c r="L1128" s="2"/>
      <c r="M1128" s="7">
        <v>628.1</v>
      </c>
    </row>
    <row r="1129" spans="1:13" ht="12.75">
      <c r="A1129" s="41" t="s">
        <v>68</v>
      </c>
      <c r="B1129" s="46"/>
      <c r="C1129" s="7"/>
      <c r="D1129" s="7"/>
      <c r="E1129" s="7">
        <f t="shared" si="32"/>
        <v>922</v>
      </c>
      <c r="F1129" s="7"/>
      <c r="G1129" s="7"/>
      <c r="H1129" s="2"/>
      <c r="I1129" s="7">
        <v>922</v>
      </c>
      <c r="J1129" s="2"/>
      <c r="K1129" s="7"/>
      <c r="L1129" s="2"/>
      <c r="M1129" s="7"/>
    </row>
    <row r="1130" spans="1:13" ht="12.75">
      <c r="A1130" s="41" t="s">
        <v>69</v>
      </c>
      <c r="B1130" s="46"/>
      <c r="C1130" s="7"/>
      <c r="D1130" s="7"/>
      <c r="E1130" s="7">
        <f t="shared" si="32"/>
        <v>0</v>
      </c>
      <c r="F1130" s="7"/>
      <c r="G1130" s="7"/>
      <c r="H1130" s="2"/>
      <c r="I1130" s="7"/>
      <c r="J1130" s="2"/>
      <c r="K1130" s="7"/>
      <c r="L1130" s="2"/>
      <c r="M1130" s="7"/>
    </row>
    <row r="1131" spans="1:13" ht="12.75">
      <c r="A1131" s="41" t="s">
        <v>26</v>
      </c>
      <c r="B1131" s="46"/>
      <c r="C1131" s="7"/>
      <c r="D1131" s="7"/>
      <c r="E1131" s="7">
        <f t="shared" si="32"/>
        <v>920</v>
      </c>
      <c r="F1131" s="7"/>
      <c r="G1131" s="7"/>
      <c r="H1131" s="2"/>
      <c r="I1131" s="7"/>
      <c r="J1131" s="2"/>
      <c r="K1131" s="7"/>
      <c r="L1131" s="2"/>
      <c r="M1131" s="7">
        <v>920</v>
      </c>
    </row>
    <row r="1132" spans="1:13" ht="12.75">
      <c r="A1132" s="41" t="s">
        <v>28</v>
      </c>
      <c r="B1132" s="46"/>
      <c r="C1132" s="7"/>
      <c r="D1132" s="7"/>
      <c r="E1132" s="7">
        <f t="shared" si="32"/>
        <v>945</v>
      </c>
      <c r="F1132" s="7"/>
      <c r="G1132" s="7">
        <v>945</v>
      </c>
      <c r="H1132" s="2"/>
      <c r="I1132" s="7"/>
      <c r="J1132" s="2"/>
      <c r="K1132" s="7"/>
      <c r="L1132" s="2"/>
      <c r="M1132" s="7"/>
    </row>
    <row r="1133" spans="1:13" ht="12.75">
      <c r="A1133" s="41" t="s">
        <v>291</v>
      </c>
      <c r="B1133" s="46"/>
      <c r="C1133" s="7"/>
      <c r="D1133" s="7"/>
      <c r="E1133" s="7"/>
      <c r="F1133" s="7"/>
      <c r="G1133" s="7"/>
      <c r="H1133" s="2"/>
      <c r="I1133" s="7"/>
      <c r="J1133" s="2"/>
      <c r="K1133" s="7">
        <v>2905</v>
      </c>
      <c r="L1133" s="2"/>
      <c r="M1133" s="7"/>
    </row>
    <row r="1134" spans="1:13" ht="12.75">
      <c r="A1134" s="41" t="s">
        <v>60</v>
      </c>
      <c r="B1134" s="46"/>
      <c r="C1134" s="7"/>
      <c r="D1134" s="7"/>
      <c r="E1134" s="7">
        <f t="shared" si="32"/>
        <v>0</v>
      </c>
      <c r="F1134" s="7"/>
      <c r="G1134" s="7"/>
      <c r="H1134" s="2"/>
      <c r="I1134" s="7"/>
      <c r="J1134" s="2"/>
      <c r="K1134" s="7"/>
      <c r="L1134" s="2"/>
      <c r="M1134" s="7"/>
    </row>
    <row r="1135" spans="1:13" ht="12.75">
      <c r="A1135" s="41" t="s">
        <v>232</v>
      </c>
      <c r="B1135" s="46"/>
      <c r="C1135" s="7"/>
      <c r="D1135" s="7"/>
      <c r="E1135" s="7">
        <f t="shared" si="32"/>
        <v>9723</v>
      </c>
      <c r="F1135" s="7"/>
      <c r="G1135" s="7"/>
      <c r="H1135" s="2"/>
      <c r="I1135" s="7">
        <v>5579</v>
      </c>
      <c r="J1135" s="2"/>
      <c r="K1135" s="7">
        <v>4144</v>
      </c>
      <c r="L1135" s="2"/>
      <c r="M1135" s="7"/>
    </row>
    <row r="1136" spans="1:13" ht="12.75">
      <c r="A1136" s="41" t="s">
        <v>234</v>
      </c>
      <c r="B1136" s="46"/>
      <c r="C1136" s="7"/>
      <c r="D1136" s="7"/>
      <c r="E1136" s="7">
        <f t="shared" si="32"/>
        <v>6100</v>
      </c>
      <c r="F1136" s="7"/>
      <c r="G1136" s="7"/>
      <c r="H1136" s="2"/>
      <c r="I1136" s="7">
        <v>6100</v>
      </c>
      <c r="J1136" s="2"/>
      <c r="K1136" s="7"/>
      <c r="L1136" s="2"/>
      <c r="M1136" s="7"/>
    </row>
    <row r="1137" spans="1:13" ht="12.75">
      <c r="A1137" s="41" t="s">
        <v>151</v>
      </c>
      <c r="B1137" s="46"/>
      <c r="C1137" s="7"/>
      <c r="D1137" s="7"/>
      <c r="E1137" s="7">
        <f t="shared" si="32"/>
        <v>775</v>
      </c>
      <c r="F1137" s="7"/>
      <c r="G1137" s="7"/>
      <c r="H1137" s="2"/>
      <c r="I1137" s="7"/>
      <c r="J1137" s="2"/>
      <c r="K1137" s="7">
        <v>775</v>
      </c>
      <c r="L1137" s="2"/>
      <c r="M1137" s="7"/>
    </row>
    <row r="1138" spans="1:13" ht="12.75">
      <c r="A1138" s="41" t="s">
        <v>66</v>
      </c>
      <c r="B1138" s="46"/>
      <c r="C1138" s="7"/>
      <c r="D1138" s="7"/>
      <c r="E1138" s="7">
        <f t="shared" si="32"/>
        <v>0</v>
      </c>
      <c r="F1138" s="7"/>
      <c r="G1138" s="7"/>
      <c r="H1138" s="2"/>
      <c r="I1138" s="7"/>
      <c r="J1138" s="2"/>
      <c r="K1138" s="7"/>
      <c r="L1138" s="2"/>
      <c r="M1138" s="7"/>
    </row>
    <row r="1139" spans="1:13" ht="12.75">
      <c r="A1139" s="41" t="s">
        <v>51</v>
      </c>
      <c r="B1139" s="46"/>
      <c r="C1139" s="7"/>
      <c r="D1139" s="7"/>
      <c r="E1139" s="7">
        <f t="shared" si="32"/>
        <v>2547.9</v>
      </c>
      <c r="F1139" s="7"/>
      <c r="G1139" s="7"/>
      <c r="H1139" s="2"/>
      <c r="I1139" s="7">
        <v>2547.9</v>
      </c>
      <c r="J1139" s="2"/>
      <c r="K1139" s="7"/>
      <c r="L1139" s="2"/>
      <c r="M1139" s="7"/>
    </row>
    <row r="1140" spans="1:13" ht="12.75">
      <c r="A1140" s="58" t="s">
        <v>52</v>
      </c>
      <c r="B1140" s="46"/>
      <c r="C1140" s="7"/>
      <c r="D1140" s="7"/>
      <c r="E1140" s="7">
        <f t="shared" si="32"/>
        <v>0</v>
      </c>
      <c r="F1140" s="7"/>
      <c r="G1140" s="7"/>
      <c r="H1140" s="2"/>
      <c r="I1140" s="7"/>
      <c r="J1140" s="2"/>
      <c r="K1140" s="7"/>
      <c r="L1140" s="2"/>
      <c r="M1140" s="7"/>
    </row>
    <row r="1141" spans="1:13" ht="12.75">
      <c r="A1141" s="41" t="s">
        <v>80</v>
      </c>
      <c r="B1141" s="46"/>
      <c r="C1141" s="7"/>
      <c r="D1141" s="7"/>
      <c r="E1141" s="7">
        <f t="shared" si="32"/>
        <v>0</v>
      </c>
      <c r="F1141" s="7"/>
      <c r="G1141" s="7"/>
      <c r="H1141" s="2"/>
      <c r="I1141" s="7"/>
      <c r="J1141" s="2"/>
      <c r="K1141" s="7"/>
      <c r="L1141" s="2"/>
      <c r="M1141" s="7"/>
    </row>
    <row r="1142" spans="1:13" ht="12.75">
      <c r="A1142" s="41" t="s">
        <v>310</v>
      </c>
      <c r="B1142" s="46"/>
      <c r="C1142" s="7"/>
      <c r="D1142" s="7"/>
      <c r="E1142" s="7"/>
      <c r="F1142" s="7"/>
      <c r="G1142" s="7"/>
      <c r="H1142" s="2"/>
      <c r="I1142" s="7"/>
      <c r="J1142" s="2"/>
      <c r="K1142" s="7">
        <v>50</v>
      </c>
      <c r="L1142" s="2"/>
      <c r="M1142" s="7"/>
    </row>
    <row r="1143" spans="1:13" ht="12.75">
      <c r="A1143" s="41" t="s">
        <v>231</v>
      </c>
      <c r="B1143" s="46"/>
      <c r="C1143" s="7"/>
      <c r="D1143" s="7"/>
      <c r="E1143" s="7">
        <f t="shared" si="32"/>
        <v>730</v>
      </c>
      <c r="F1143" s="7"/>
      <c r="G1143" s="7"/>
      <c r="H1143" s="2"/>
      <c r="I1143" s="7">
        <v>730</v>
      </c>
      <c r="J1143" s="2"/>
      <c r="K1143" s="7"/>
      <c r="L1143" s="2"/>
      <c r="M1143" s="7"/>
    </row>
    <row r="1144" spans="1:13" ht="12.75">
      <c r="A1144" s="41" t="s">
        <v>152</v>
      </c>
      <c r="B1144" s="46"/>
      <c r="C1144" s="7"/>
      <c r="D1144" s="7"/>
      <c r="E1144" s="7">
        <f t="shared" si="32"/>
        <v>5750</v>
      </c>
      <c r="F1144" s="7"/>
      <c r="G1144" s="7">
        <v>5750</v>
      </c>
      <c r="H1144" s="2"/>
      <c r="I1144" s="7"/>
      <c r="J1144" s="2"/>
      <c r="K1144" s="7"/>
      <c r="L1144" s="2"/>
      <c r="M1144" s="7"/>
    </row>
    <row r="1145" spans="1:13" ht="12.75">
      <c r="A1145" s="41" t="s">
        <v>153</v>
      </c>
      <c r="B1145" s="46"/>
      <c r="C1145" s="7"/>
      <c r="D1145" s="7"/>
      <c r="E1145" s="7">
        <f t="shared" si="32"/>
        <v>3927</v>
      </c>
      <c r="F1145" s="7"/>
      <c r="G1145" s="7">
        <v>3927</v>
      </c>
      <c r="H1145" s="2"/>
      <c r="I1145" s="7"/>
      <c r="J1145" s="2"/>
      <c r="K1145" s="7"/>
      <c r="L1145" s="2"/>
      <c r="M1145" s="7"/>
    </row>
    <row r="1146" spans="1:13" ht="12.75">
      <c r="A1146" s="41" t="s">
        <v>57</v>
      </c>
      <c r="B1146" s="46"/>
      <c r="C1146" s="7"/>
      <c r="D1146" s="7"/>
      <c r="E1146" s="7">
        <f t="shared" si="32"/>
        <v>25.687800000000003</v>
      </c>
      <c r="F1146" s="7"/>
      <c r="G1146" s="7"/>
      <c r="H1146" s="2"/>
      <c r="I1146" s="7">
        <f>0.0071*C1102</f>
        <v>25.687800000000003</v>
      </c>
      <c r="J1146" s="2"/>
      <c r="K1146" s="7"/>
      <c r="L1146" s="2"/>
      <c r="M1146" s="7"/>
    </row>
    <row r="1147" spans="1:13" ht="12.75">
      <c r="A1147" s="41" t="s">
        <v>33</v>
      </c>
      <c r="B1147" s="46"/>
      <c r="C1147" s="7"/>
      <c r="D1147" s="7"/>
      <c r="E1147" s="7">
        <f t="shared" si="32"/>
        <v>3795.77</v>
      </c>
      <c r="F1147" s="15"/>
      <c r="G1147" s="7"/>
      <c r="H1147" s="2"/>
      <c r="I1147" s="7"/>
      <c r="J1147" s="2"/>
      <c r="K1147" s="7">
        <f>1871</f>
        <v>1871</v>
      </c>
      <c r="L1147" s="2"/>
      <c r="M1147" s="7">
        <v>1924.77</v>
      </c>
    </row>
    <row r="1148" spans="1:13" ht="12.75">
      <c r="A1148" s="41" t="s">
        <v>50</v>
      </c>
      <c r="B1148" s="46"/>
      <c r="C1148" s="7"/>
      <c r="D1148" s="7"/>
      <c r="E1148" s="7">
        <f t="shared" si="32"/>
        <v>3968.8947810000004</v>
      </c>
      <c r="F1148" s="7"/>
      <c r="G1148" s="7">
        <f>0.2455*C1102</f>
        <v>888.2189999999999</v>
      </c>
      <c r="H1148" s="2"/>
      <c r="I1148" s="7">
        <f>0.5802*C1102</f>
        <v>2099.1636000000003</v>
      </c>
      <c r="J1148" s="2"/>
      <c r="K1148" s="7">
        <f>0.1437*K1102</f>
        <v>521.0317709999999</v>
      </c>
      <c r="L1148" s="2"/>
      <c r="M1148" s="7">
        <f>0.127*K1102</f>
        <v>460.48041</v>
      </c>
    </row>
    <row r="1149" spans="1:13" ht="12.75">
      <c r="A1149" s="41" t="s">
        <v>54</v>
      </c>
      <c r="B1149" s="46"/>
      <c r="C1149" s="7"/>
      <c r="D1149" s="7"/>
      <c r="E1149" s="7">
        <f t="shared" si="32"/>
        <v>111.61448999999999</v>
      </c>
      <c r="F1149" s="7"/>
      <c r="G1149" s="7"/>
      <c r="H1149" s="2"/>
      <c r="I1149" s="7">
        <f>0.0078*C1102</f>
        <v>28.220399999999998</v>
      </c>
      <c r="J1149" s="2"/>
      <c r="K1149" s="7">
        <f>0.011*K1102</f>
        <v>39.88413</v>
      </c>
      <c r="L1149" s="2"/>
      <c r="M1149" s="7">
        <f>0.012*K1102</f>
        <v>43.50996</v>
      </c>
    </row>
    <row r="1150" spans="1:13" ht="23.25" thickBot="1">
      <c r="A1150" s="48" t="s">
        <v>154</v>
      </c>
      <c r="B1150" s="49"/>
      <c r="C1150" s="50"/>
      <c r="D1150" s="50"/>
      <c r="E1150" s="50">
        <f t="shared" si="32"/>
        <v>40698.479999999996</v>
      </c>
      <c r="F1150" s="50"/>
      <c r="G1150" s="50">
        <v>19636</v>
      </c>
      <c r="H1150" s="22"/>
      <c r="I1150" s="50"/>
      <c r="J1150" s="22"/>
      <c r="K1150" s="50"/>
      <c r="L1150" s="22"/>
      <c r="M1150" s="50">
        <v>21062.48</v>
      </c>
    </row>
    <row r="1151" spans="1:13" ht="13.5" thickBot="1">
      <c r="A1151" s="59" t="s">
        <v>10</v>
      </c>
      <c r="B1151" s="81"/>
      <c r="C1151" s="63"/>
      <c r="D1151" s="27"/>
      <c r="E1151" s="34">
        <f t="shared" si="32"/>
        <v>229053.53233189997</v>
      </c>
      <c r="F1151" s="96"/>
      <c r="G1151" s="63">
        <f>SUM(G1126:G1150)</f>
        <v>55506.97278</v>
      </c>
      <c r="H1151" s="26"/>
      <c r="I1151" s="63">
        <f>SUM(I1126:I1150)</f>
        <v>81064.82106</v>
      </c>
      <c r="J1151" s="26"/>
      <c r="K1151" s="63">
        <f>SUM(K1126:K1150)</f>
        <v>41188.379483</v>
      </c>
      <c r="L1151" s="26"/>
      <c r="M1151" s="29">
        <f>SUM(M1126:M1150)</f>
        <v>51293.35900889999</v>
      </c>
    </row>
    <row r="1152" spans="1:13" ht="12.75">
      <c r="A1152" s="60" t="s">
        <v>42</v>
      </c>
      <c r="B1152" s="55"/>
      <c r="C1152" s="66"/>
      <c r="D1152" s="66"/>
      <c r="E1152" s="56">
        <f t="shared" si="32"/>
        <v>0</v>
      </c>
      <c r="F1152" s="66"/>
      <c r="G1152" s="56"/>
      <c r="H1152" s="74"/>
      <c r="I1152" s="56"/>
      <c r="J1152" s="74"/>
      <c r="K1152" s="56"/>
      <c r="L1152" s="74"/>
      <c r="M1152" s="56"/>
    </row>
    <row r="1153" spans="1:13" ht="12.75">
      <c r="A1153" s="41" t="s">
        <v>56</v>
      </c>
      <c r="B1153" s="46"/>
      <c r="C1153" s="7"/>
      <c r="D1153" s="7"/>
      <c r="E1153" s="7">
        <f t="shared" si="32"/>
        <v>0</v>
      </c>
      <c r="F1153" s="7"/>
      <c r="G1153" s="7"/>
      <c r="H1153" s="2"/>
      <c r="I1153" s="7"/>
      <c r="J1153" s="2"/>
      <c r="K1153" s="7"/>
      <c r="L1153" s="2"/>
      <c r="M1153" s="7"/>
    </row>
    <row r="1154" spans="1:13" ht="12.75">
      <c r="A1154" s="41" t="s">
        <v>375</v>
      </c>
      <c r="B1154" s="49"/>
      <c r="C1154" s="50"/>
      <c r="D1154" s="50"/>
      <c r="E1154" s="7">
        <f t="shared" si="32"/>
        <v>267.2</v>
      </c>
      <c r="F1154" s="50"/>
      <c r="G1154" s="50"/>
      <c r="H1154" s="22"/>
      <c r="I1154" s="50"/>
      <c r="J1154" s="22"/>
      <c r="K1154" s="50"/>
      <c r="L1154" s="22"/>
      <c r="M1154" s="50">
        <v>267.2</v>
      </c>
    </row>
    <row r="1155" spans="1:13" ht="12.75">
      <c r="A1155" s="48" t="s">
        <v>309</v>
      </c>
      <c r="B1155" s="49"/>
      <c r="C1155" s="50"/>
      <c r="D1155" s="50"/>
      <c r="E1155" s="7">
        <f t="shared" si="32"/>
        <v>2526.12</v>
      </c>
      <c r="F1155" s="50"/>
      <c r="G1155" s="50"/>
      <c r="H1155" s="22"/>
      <c r="I1155" s="50"/>
      <c r="J1155" s="22"/>
      <c r="K1155" s="50">
        <v>2526.12</v>
      </c>
      <c r="L1155" s="22"/>
      <c r="M1155" s="50"/>
    </row>
    <row r="1156" spans="1:13" ht="13.5" thickBot="1">
      <c r="A1156" s="48" t="s">
        <v>16</v>
      </c>
      <c r="B1156" s="49"/>
      <c r="C1156" s="50"/>
      <c r="D1156" s="50"/>
      <c r="E1156" s="7">
        <f t="shared" si="32"/>
        <v>129.372444</v>
      </c>
      <c r="F1156" s="50"/>
      <c r="G1156" s="50">
        <f>0.0089*C1102</f>
        <v>32.2002</v>
      </c>
      <c r="H1156" s="22"/>
      <c r="I1156" s="50"/>
      <c r="J1156" s="22"/>
      <c r="K1156" s="50"/>
      <c r="L1156" s="22"/>
      <c r="M1156" s="50">
        <f>0.0268*K1102</f>
        <v>97.172244</v>
      </c>
    </row>
    <row r="1157" spans="1:13" ht="13.5" thickBot="1">
      <c r="A1157" s="62" t="s">
        <v>10</v>
      </c>
      <c r="B1157" s="81"/>
      <c r="C1157" s="63"/>
      <c r="D1157" s="27"/>
      <c r="E1157" s="97">
        <f t="shared" si="32"/>
        <v>2922.6924440000003</v>
      </c>
      <c r="F1157" s="96"/>
      <c r="G1157" s="63">
        <f>SUM(G1153:G1156)</f>
        <v>32.2002</v>
      </c>
      <c r="H1157" s="26"/>
      <c r="I1157" s="63"/>
      <c r="J1157" s="26"/>
      <c r="K1157" s="63">
        <f>SUM(K1153:K1156)</f>
        <v>2526.12</v>
      </c>
      <c r="L1157" s="26"/>
      <c r="M1157" s="29">
        <f>SUM(M1153:M1156)</f>
        <v>364.372244</v>
      </c>
    </row>
    <row r="1158" spans="1:13" ht="13.5" thickBot="1">
      <c r="A1158" s="64" t="s">
        <v>29</v>
      </c>
      <c r="B1158" s="81"/>
      <c r="C1158" s="63"/>
      <c r="D1158" s="27"/>
      <c r="E1158" s="34">
        <f t="shared" si="32"/>
        <v>8304.94836</v>
      </c>
      <c r="F1158" s="96"/>
      <c r="G1158" s="63">
        <f>0.4236*C1102</f>
        <v>1532.5847999999999</v>
      </c>
      <c r="H1158" s="26"/>
      <c r="I1158" s="63">
        <f>0.5971*C1102</f>
        <v>2160.3078</v>
      </c>
      <c r="J1158" s="26"/>
      <c r="K1158" s="63"/>
      <c r="L1158" s="26"/>
      <c r="M1158" s="29">
        <f>1.272*K1102</f>
        <v>4612.05576</v>
      </c>
    </row>
    <row r="1159" spans="1:13" ht="21.75">
      <c r="A1159" s="65" t="s">
        <v>83</v>
      </c>
      <c r="B1159" s="61"/>
      <c r="C1159" s="56"/>
      <c r="D1159" s="56"/>
      <c r="E1159" s="56">
        <f t="shared" si="32"/>
        <v>509670.31613939995</v>
      </c>
      <c r="F1159" s="56"/>
      <c r="G1159" s="56">
        <f>G1124+G1151+G1157+G1158</f>
        <v>122088.82209999999</v>
      </c>
      <c r="H1159" s="74"/>
      <c r="I1159" s="56">
        <f>I1124+I1151+I1157+I1158</f>
        <v>157911.41394</v>
      </c>
      <c r="J1159" s="74"/>
      <c r="K1159" s="56">
        <f>K1124+K1151+K1157+K1158</f>
        <v>110399.07281039999</v>
      </c>
      <c r="L1159" s="74"/>
      <c r="M1159" s="56">
        <f>M1124+M1151+M1157+M1158</f>
        <v>119271.00728899999</v>
      </c>
    </row>
    <row r="1160" spans="1:13" ht="33.75">
      <c r="A1160" s="67" t="s">
        <v>84</v>
      </c>
      <c r="B1160" s="46"/>
      <c r="C1160" s="7"/>
      <c r="D1160" s="7"/>
      <c r="E1160" s="8">
        <f>E1159/12/C1102</f>
        <v>11.739227845480928</v>
      </c>
      <c r="F1160" s="7"/>
      <c r="G1160" s="8">
        <f>G1159/3/C1102</f>
        <v>11.248279168969963</v>
      </c>
      <c r="H1160" s="2"/>
      <c r="I1160" s="8">
        <f>I1159/3/C1102</f>
        <v>14.548683797678276</v>
      </c>
      <c r="J1160" s="2"/>
      <c r="K1160" s="8">
        <f>K1159/3/K1102</f>
        <v>10.149315035950389</v>
      </c>
      <c r="L1160" s="2"/>
      <c r="M1160" s="8">
        <f>M1159/3/K1102</f>
        <v>10.96493835333335</v>
      </c>
    </row>
    <row r="1161" spans="1:13" ht="12.75">
      <c r="A1161" s="69" t="s">
        <v>20</v>
      </c>
      <c r="B1161" s="44"/>
      <c r="C1161" s="45"/>
      <c r="D1161" s="45"/>
      <c r="E1161" s="7">
        <f>E1107-E1159</f>
        <v>-135382.3761394</v>
      </c>
      <c r="F1161" s="45"/>
      <c r="G1161" s="7">
        <f>G1107-G1159</f>
        <v>-26773.782099999997</v>
      </c>
      <c r="H1161" s="2"/>
      <c r="I1161" s="7">
        <f>I1107-I1159-26774</f>
        <v>-96116.33394</v>
      </c>
      <c r="J1161" s="2"/>
      <c r="K1161" s="7">
        <f>K1107-K1159-96116</f>
        <v>-112334.10281039999</v>
      </c>
      <c r="L1161" s="2"/>
      <c r="M1161" s="7">
        <f>M1107-M1159-112334</f>
        <v>-135382.157289</v>
      </c>
    </row>
    <row r="1162" spans="1:13" ht="12.75">
      <c r="A1162" s="14" t="s">
        <v>24</v>
      </c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</row>
    <row r="1163" spans="1:13" ht="12.75">
      <c r="A1163" s="14" t="s">
        <v>35</v>
      </c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</row>
    <row r="1164" spans="1:13" ht="12.75">
      <c r="A1164" s="14" t="s">
        <v>25</v>
      </c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</row>
    <row r="1165" spans="1:13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</row>
    <row r="1166" spans="1:13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</row>
    <row r="1167" spans="1:13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</row>
    <row r="1168" spans="1:13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</row>
    <row r="1169" spans="1:13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</row>
    <row r="1170" spans="1:13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</row>
    <row r="1171" spans="1:13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</row>
    <row r="1172" spans="1:13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</row>
    <row r="1173" spans="1:13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</row>
    <row r="1174" spans="1:13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</row>
    <row r="1175" spans="1:13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</row>
    <row r="1176" spans="1:13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</row>
    <row r="1177" spans="1:13" ht="12.75" hidden="1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</row>
    <row r="1178" spans="1:13" ht="3" customHeight="1" hidden="1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</row>
    <row r="1179" spans="1:13" ht="12.75" hidden="1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</row>
    <row r="1180" spans="1:13" ht="12.75" hidden="1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</row>
    <row r="1181" spans="1:13" ht="12.75" hidden="1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</row>
    <row r="1182" spans="1:13" ht="12.75" hidden="1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</row>
    <row r="1183" spans="1:13" ht="12.75" hidden="1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</row>
    <row r="1184" spans="1:13" ht="12.75" hidden="1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</row>
    <row r="1185" spans="1:13" ht="12.75" hidden="1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</row>
    <row r="1186" spans="1:13" ht="12.75" hidden="1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</row>
    <row r="1187" spans="1:13" ht="12.75" hidden="1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</row>
    <row r="1188" spans="1:13" ht="12.75">
      <c r="A1188" s="31" t="s">
        <v>21</v>
      </c>
      <c r="B1188" s="31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</row>
    <row r="1189" spans="1:13" ht="12.75">
      <c r="A1189" s="14" t="s">
        <v>31</v>
      </c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</row>
    <row r="1190" spans="1:13" ht="12.75">
      <c r="A1190" s="14" t="s">
        <v>41</v>
      </c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</row>
    <row r="1191" spans="1:13" ht="12.75">
      <c r="A1191" s="14" t="s">
        <v>113</v>
      </c>
      <c r="B1191" s="14"/>
      <c r="C1191" s="14"/>
      <c r="D1191" s="14"/>
      <c r="E1191" s="14" t="s">
        <v>32</v>
      </c>
      <c r="F1191" s="14"/>
      <c r="G1191" s="14"/>
      <c r="H1191" s="14"/>
      <c r="I1191" s="14"/>
      <c r="J1191" s="14"/>
      <c r="K1191" s="14"/>
      <c r="L1191" s="14"/>
      <c r="M1191" s="14"/>
    </row>
    <row r="1192" spans="1:13" ht="12.75" customHeight="1">
      <c r="A1192" s="6" t="s">
        <v>0</v>
      </c>
      <c r="B1192" s="151" t="s">
        <v>38</v>
      </c>
      <c r="C1192" s="152"/>
      <c r="D1192" s="149" t="s">
        <v>39</v>
      </c>
      <c r="E1192" s="150"/>
      <c r="F1192" s="149" t="s">
        <v>96</v>
      </c>
      <c r="G1192" s="150"/>
      <c r="H1192" s="149" t="s">
        <v>97</v>
      </c>
      <c r="I1192" s="150"/>
      <c r="J1192" s="149" t="s">
        <v>98</v>
      </c>
      <c r="K1192" s="150"/>
      <c r="L1192" s="149" t="s">
        <v>99</v>
      </c>
      <c r="M1192" s="150"/>
    </row>
    <row r="1193" spans="1:13" ht="12.75">
      <c r="A1193" s="11" t="s">
        <v>5</v>
      </c>
      <c r="B1193" s="153"/>
      <c r="C1193" s="154"/>
      <c r="D1193" s="6" t="s">
        <v>40</v>
      </c>
      <c r="E1193" s="6" t="s">
        <v>22</v>
      </c>
      <c r="F1193" s="6" t="s">
        <v>40</v>
      </c>
      <c r="G1193" s="13" t="s">
        <v>22</v>
      </c>
      <c r="H1193" s="2"/>
      <c r="I1193" s="2"/>
      <c r="J1193" s="2"/>
      <c r="K1193" s="2"/>
      <c r="L1193" s="2"/>
      <c r="M1193" s="2"/>
    </row>
    <row r="1194" spans="1:13" ht="12.75">
      <c r="A1194" s="2" t="s">
        <v>1</v>
      </c>
      <c r="B1194" s="2"/>
      <c r="C1194" s="6">
        <v>9</v>
      </c>
      <c r="D1194" s="2"/>
      <c r="E1194" s="2"/>
      <c r="F1194" s="2"/>
      <c r="G1194" s="2"/>
      <c r="H1194" s="2"/>
      <c r="I1194" s="2"/>
      <c r="J1194" s="2"/>
      <c r="K1194" s="2"/>
      <c r="L1194" s="2"/>
      <c r="M1194" s="2"/>
    </row>
    <row r="1195" spans="1:13" ht="12.75">
      <c r="A1195" s="2" t="s">
        <v>2</v>
      </c>
      <c r="B1195" s="2"/>
      <c r="C1195" s="6">
        <v>2</v>
      </c>
      <c r="D1195" s="2"/>
      <c r="E1195" s="2"/>
      <c r="F1195" s="2"/>
      <c r="G1195" s="2"/>
      <c r="H1195" s="2"/>
      <c r="I1195" s="2"/>
      <c r="J1195" s="2"/>
      <c r="K1195" s="2"/>
      <c r="L1195" s="2"/>
      <c r="M1195" s="2"/>
    </row>
    <row r="1196" spans="1:13" ht="12.75">
      <c r="A1196" s="2" t="s">
        <v>3</v>
      </c>
      <c r="B1196" s="2"/>
      <c r="C1196" s="6">
        <v>72</v>
      </c>
      <c r="D1196" s="2"/>
      <c r="E1196" s="2"/>
      <c r="F1196" s="2"/>
      <c r="G1196" s="2"/>
      <c r="H1196" s="2"/>
      <c r="I1196" s="2"/>
      <c r="J1196" s="2"/>
      <c r="K1196" s="2"/>
      <c r="L1196" s="2"/>
      <c r="M1196" s="2"/>
    </row>
    <row r="1197" spans="1:13" ht="12.75">
      <c r="A1197" s="2" t="s">
        <v>4</v>
      </c>
      <c r="B1197" s="6"/>
      <c r="C1197" s="6">
        <v>3892.88</v>
      </c>
      <c r="D1197" s="6"/>
      <c r="E1197" s="6"/>
      <c r="F1197" s="6"/>
      <c r="G1197" s="2"/>
      <c r="H1197" s="2"/>
      <c r="I1197" s="2"/>
      <c r="J1197" s="2"/>
      <c r="K1197" s="2">
        <v>3897.78</v>
      </c>
      <c r="L1197" s="2"/>
      <c r="M1197" s="2"/>
    </row>
    <row r="1198" spans="1:13" ht="21.75">
      <c r="A1198" s="35" t="s">
        <v>6</v>
      </c>
      <c r="B1198" s="11" t="s">
        <v>40</v>
      </c>
      <c r="C1198" s="2" t="s">
        <v>22</v>
      </c>
      <c r="D1198" s="2"/>
      <c r="E1198" s="2"/>
      <c r="F1198" s="2"/>
      <c r="G1198" s="2"/>
      <c r="H1198" s="2"/>
      <c r="I1198" s="2"/>
      <c r="J1198" s="2"/>
      <c r="K1198" s="2"/>
      <c r="L1198" s="2"/>
      <c r="M1198" s="2"/>
    </row>
    <row r="1199" spans="1:13" ht="22.5">
      <c r="A1199" s="40" t="s">
        <v>7</v>
      </c>
      <c r="B1199" s="3"/>
      <c r="C1199" s="6"/>
      <c r="D1199" s="6"/>
      <c r="E1199" s="8">
        <f>G1199+I1199+K1199+M1199</f>
        <v>484835.78</v>
      </c>
      <c r="F1199" s="2"/>
      <c r="G1199" s="2">
        <v>113398.13</v>
      </c>
      <c r="H1199" s="2"/>
      <c r="I1199" s="2">
        <v>118539.69</v>
      </c>
      <c r="J1199" s="2"/>
      <c r="K1199" s="2">
        <v>130681.59</v>
      </c>
      <c r="L1199" s="2"/>
      <c r="M1199" s="2">
        <v>122216.37</v>
      </c>
    </row>
    <row r="1200" spans="1:13" ht="12.75">
      <c r="A1200" s="41" t="s">
        <v>8</v>
      </c>
      <c r="B1200" s="3"/>
      <c r="C1200" s="6"/>
      <c r="D1200" s="6"/>
      <c r="E1200" s="7">
        <f aca="true" t="shared" si="33" ref="E1200:E1257">G1200+I1200+K1200+M1200</f>
        <v>0</v>
      </c>
      <c r="F1200" s="2"/>
      <c r="G1200" s="2"/>
      <c r="H1200" s="2"/>
      <c r="I1200" s="2"/>
      <c r="J1200" s="2"/>
      <c r="K1200" s="2"/>
      <c r="L1200" s="2"/>
      <c r="M1200" s="2"/>
    </row>
    <row r="1201" spans="1:13" ht="12.75">
      <c r="A1201" s="41" t="s">
        <v>9</v>
      </c>
      <c r="B1201" s="3"/>
      <c r="C1201" s="6"/>
      <c r="D1201" s="6"/>
      <c r="E1201" s="7">
        <f t="shared" si="33"/>
        <v>0</v>
      </c>
      <c r="F1201" s="2"/>
      <c r="G1201" s="2"/>
      <c r="H1201" s="2"/>
      <c r="I1201" s="2"/>
      <c r="J1201" s="2"/>
      <c r="K1201" s="2"/>
      <c r="L1201" s="2"/>
      <c r="M1201" s="2"/>
    </row>
    <row r="1202" spans="1:13" ht="12.75">
      <c r="A1202" s="2" t="s">
        <v>10</v>
      </c>
      <c r="B1202" s="42"/>
      <c r="C1202" s="11"/>
      <c r="D1202" s="11"/>
      <c r="E1202" s="38">
        <f t="shared" si="33"/>
        <v>484835.78</v>
      </c>
      <c r="F1202" s="37"/>
      <c r="G1202" s="37">
        <f>SUM(G1199:G1201)</f>
        <v>113398.13</v>
      </c>
      <c r="H1202" s="37"/>
      <c r="I1202" s="37">
        <f>SUM(I1199:I1201)</f>
        <v>118539.69</v>
      </c>
      <c r="J1202" s="37"/>
      <c r="K1202" s="37">
        <f>SUM(K1199:K1201)</f>
        <v>130681.59</v>
      </c>
      <c r="L1202" s="37"/>
      <c r="M1202" s="37">
        <f>SUM(M1199:M1201)</f>
        <v>122216.37</v>
      </c>
    </row>
    <row r="1203" spans="1:13" ht="21.75">
      <c r="A1203" s="35" t="s">
        <v>82</v>
      </c>
      <c r="B1203" s="42"/>
      <c r="C1203" s="2"/>
      <c r="D1203" s="2"/>
      <c r="E1203" s="7">
        <f t="shared" si="33"/>
        <v>0</v>
      </c>
      <c r="F1203" s="2"/>
      <c r="G1203" s="2"/>
      <c r="H1203" s="2"/>
      <c r="I1203" s="2"/>
      <c r="J1203" s="2"/>
      <c r="K1203" s="2"/>
      <c r="L1203" s="2"/>
      <c r="M1203" s="2"/>
    </row>
    <row r="1204" spans="1:13" ht="12.75">
      <c r="A1204" s="43" t="s">
        <v>11</v>
      </c>
      <c r="B1204" s="44"/>
      <c r="C1204" s="45"/>
      <c r="D1204" s="45"/>
      <c r="E1204" s="7">
        <f t="shared" si="33"/>
        <v>127059.874792</v>
      </c>
      <c r="F1204" s="45"/>
      <c r="G1204" s="7">
        <f>7.99407*C1197</f>
        <v>31119.9552216</v>
      </c>
      <c r="H1204" s="2"/>
      <c r="I1204" s="7">
        <f>9.57707*C1197</f>
        <v>37282.384261600004</v>
      </c>
      <c r="J1204" s="2"/>
      <c r="K1204" s="7">
        <f>7.32829*K1197</f>
        <v>28564.0621962</v>
      </c>
      <c r="L1204" s="2"/>
      <c r="M1204" s="7">
        <f>7.72067*K1197</f>
        <v>30093.4731126</v>
      </c>
    </row>
    <row r="1205" spans="1:13" ht="12.75">
      <c r="A1205" s="43" t="s">
        <v>12</v>
      </c>
      <c r="B1205" s="46"/>
      <c r="C1205" s="7"/>
      <c r="D1205" s="7"/>
      <c r="E1205" s="7">
        <f t="shared" si="33"/>
        <v>0</v>
      </c>
      <c r="F1205" s="7"/>
      <c r="G1205" s="7"/>
      <c r="H1205" s="2"/>
      <c r="I1205" s="7"/>
      <c r="J1205" s="2"/>
      <c r="K1205" s="7"/>
      <c r="L1205" s="2"/>
      <c r="M1205" s="7"/>
    </row>
    <row r="1206" spans="1:13" ht="12.75">
      <c r="A1206" s="41" t="s">
        <v>13</v>
      </c>
      <c r="B1206" s="46"/>
      <c r="C1206" s="7"/>
      <c r="D1206" s="7"/>
      <c r="E1206" s="7">
        <f t="shared" si="33"/>
        <v>140414.807905</v>
      </c>
      <c r="F1206" s="7"/>
      <c r="G1206" s="7">
        <f>G1207+G1209+G1210+G1211+G1214+G1215+G1216+G1217+G1218+G1219+G1220</f>
        <v>35359.0276296</v>
      </c>
      <c r="H1206" s="2"/>
      <c r="I1206" s="7">
        <f>I1207+I1209+I1210+I1211+I1214+I1215+I1216+I1217+I1218+I1219+I1220</f>
        <v>34711.1429032</v>
      </c>
      <c r="J1206" s="2"/>
      <c r="K1206" s="7">
        <f>K1207+K1209+K1210+K1211+K1212+K1214+K1215+K1216+K1217+K1218+K1219+K1220</f>
        <v>38900.3479522</v>
      </c>
      <c r="L1206" s="2"/>
      <c r="M1206" s="7">
        <f>M1207+M1209+M1210+M1211+M1212+M1213+M1214+M1215+M1216+M1217+M1218+M1219+M1220</f>
        <v>31444.28942</v>
      </c>
    </row>
    <row r="1207" spans="1:13" ht="12.75">
      <c r="A1207" s="47" t="s">
        <v>14</v>
      </c>
      <c r="B1207" s="46"/>
      <c r="C1207" s="71"/>
      <c r="D1207" s="7"/>
      <c r="E1207" s="7">
        <f t="shared" si="33"/>
        <v>127292</v>
      </c>
      <c r="F1207" s="7"/>
      <c r="G1207" s="7">
        <v>32920</v>
      </c>
      <c r="H1207" s="2"/>
      <c r="I1207" s="7">
        <v>31768</v>
      </c>
      <c r="J1207" s="2"/>
      <c r="K1207" s="7">
        <v>33490</v>
      </c>
      <c r="L1207" s="2"/>
      <c r="M1207" s="7">
        <v>29114</v>
      </c>
    </row>
    <row r="1208" spans="1:13" ht="12.75">
      <c r="A1208" s="41" t="s">
        <v>19</v>
      </c>
      <c r="B1208" s="46"/>
      <c r="C1208" s="71"/>
      <c r="D1208" s="7"/>
      <c r="E1208" s="7">
        <f t="shared" si="33"/>
        <v>79719.99</v>
      </c>
      <c r="F1208" s="7"/>
      <c r="G1208" s="7">
        <v>19939.99</v>
      </c>
      <c r="H1208" s="2"/>
      <c r="I1208" s="7">
        <v>19940</v>
      </c>
      <c r="J1208" s="2"/>
      <c r="K1208" s="7">
        <v>19920</v>
      </c>
      <c r="L1208" s="2"/>
      <c r="M1208" s="7">
        <v>19920</v>
      </c>
    </row>
    <row r="1209" spans="1:13" ht="12.75">
      <c r="A1209" s="41" t="s">
        <v>18</v>
      </c>
      <c r="B1209" s="46"/>
      <c r="C1209" s="7"/>
      <c r="D1209" s="7"/>
      <c r="E1209" s="7">
        <f t="shared" si="33"/>
        <v>1448.99</v>
      </c>
      <c r="F1209" s="7"/>
      <c r="G1209" s="7">
        <v>227.21</v>
      </c>
      <c r="H1209" s="2"/>
      <c r="I1209" s="7">
        <v>319.77</v>
      </c>
      <c r="J1209" s="2"/>
      <c r="K1209" s="7">
        <v>433.01</v>
      </c>
      <c r="L1209" s="2"/>
      <c r="M1209" s="7">
        <v>469</v>
      </c>
    </row>
    <row r="1210" spans="1:13" ht="12.75">
      <c r="A1210" s="41" t="s">
        <v>53</v>
      </c>
      <c r="B1210" s="46"/>
      <c r="C1210" s="7"/>
      <c r="D1210" s="7"/>
      <c r="E1210" s="7">
        <f t="shared" si="33"/>
        <v>7494.236215000001</v>
      </c>
      <c r="F1210" s="7"/>
      <c r="G1210" s="7">
        <f>0.54857*C1197</f>
        <v>2135.5171816</v>
      </c>
      <c r="H1210" s="2"/>
      <c r="I1210" s="7">
        <f>0.53049*C1197</f>
        <v>2065.1339112</v>
      </c>
      <c r="J1210" s="2"/>
      <c r="K1210" s="7">
        <f>0.60599*K1197</f>
        <v>2362.0157022000003</v>
      </c>
      <c r="L1210" s="2"/>
      <c r="M1210" s="7">
        <f>0.239*K1197</f>
        <v>931.56942</v>
      </c>
    </row>
    <row r="1211" spans="1:13" ht="12.75">
      <c r="A1211" s="41" t="s">
        <v>148</v>
      </c>
      <c r="B1211" s="46"/>
      <c r="C1211" s="7"/>
      <c r="D1211" s="7"/>
      <c r="E1211" s="7">
        <f t="shared" si="33"/>
        <v>0</v>
      </c>
      <c r="F1211" s="7"/>
      <c r="G1211" s="7"/>
      <c r="H1211" s="2"/>
      <c r="I1211" s="7"/>
      <c r="J1211" s="2"/>
      <c r="K1211" s="7"/>
      <c r="L1211" s="2"/>
      <c r="M1211" s="7"/>
    </row>
    <row r="1212" spans="1:13" ht="12.75">
      <c r="A1212" s="41" t="s">
        <v>248</v>
      </c>
      <c r="B1212" s="46"/>
      <c r="C1212" s="7"/>
      <c r="D1212" s="7"/>
      <c r="E1212" s="7"/>
      <c r="F1212" s="7"/>
      <c r="G1212" s="7"/>
      <c r="H1212" s="2"/>
      <c r="I1212" s="7"/>
      <c r="J1212" s="2"/>
      <c r="K1212" s="7">
        <v>1095.6</v>
      </c>
      <c r="L1212" s="2"/>
      <c r="M1212" s="7"/>
    </row>
    <row r="1213" spans="1:13" ht="12.75">
      <c r="A1213" s="41" t="s">
        <v>418</v>
      </c>
      <c r="B1213" s="46"/>
      <c r="C1213" s="7"/>
      <c r="D1213" s="7"/>
      <c r="E1213" s="7"/>
      <c r="F1213" s="7"/>
      <c r="G1213" s="7"/>
      <c r="H1213" s="2"/>
      <c r="I1213" s="7"/>
      <c r="J1213" s="2"/>
      <c r="K1213" s="7"/>
      <c r="L1213" s="2"/>
      <c r="M1213" s="7">
        <v>498</v>
      </c>
    </row>
    <row r="1214" spans="1:13" ht="12.75">
      <c r="A1214" s="41" t="s">
        <v>27</v>
      </c>
      <c r="B1214" s="46"/>
      <c r="C1214" s="7"/>
      <c r="D1214" s="7"/>
      <c r="E1214" s="7">
        <f t="shared" si="33"/>
        <v>291.576712</v>
      </c>
      <c r="F1214" s="7"/>
      <c r="G1214" s="7"/>
      <c r="H1214" s="2"/>
      <c r="I1214" s="7">
        <f>0.0749*C1197</f>
        <v>291.576712</v>
      </c>
      <c r="J1214" s="2"/>
      <c r="K1214" s="7"/>
      <c r="L1214" s="2"/>
      <c r="M1214" s="7"/>
    </row>
    <row r="1215" spans="1:13" ht="12.75">
      <c r="A1215" s="41" t="s">
        <v>36</v>
      </c>
      <c r="B1215" s="46"/>
      <c r="C1215" s="7"/>
      <c r="D1215" s="7"/>
      <c r="E1215" s="7">
        <f t="shared" si="33"/>
        <v>1902.72</v>
      </c>
      <c r="F1215" s="7"/>
      <c r="G1215" s="7"/>
      <c r="H1215" s="2"/>
      <c r="I1215" s="7"/>
      <c r="J1215" s="2" t="s">
        <v>311</v>
      </c>
      <c r="K1215" s="7">
        <v>1471</v>
      </c>
      <c r="L1215" s="2" t="s">
        <v>417</v>
      </c>
      <c r="M1215" s="7">
        <v>431.72</v>
      </c>
    </row>
    <row r="1216" spans="1:13" ht="12.75">
      <c r="A1216" s="41" t="s">
        <v>58</v>
      </c>
      <c r="B1216" s="46"/>
      <c r="C1216" s="7"/>
      <c r="D1216" s="7"/>
      <c r="E1216" s="7">
        <f t="shared" si="33"/>
        <v>0</v>
      </c>
      <c r="F1216" s="7"/>
      <c r="G1216" s="7"/>
      <c r="H1216" s="2"/>
      <c r="I1216" s="7"/>
      <c r="J1216" s="2"/>
      <c r="K1216" s="7"/>
      <c r="L1216" s="2"/>
      <c r="M1216" s="7"/>
    </row>
    <row r="1217" spans="1:13" ht="12.75">
      <c r="A1217" s="41" t="s">
        <v>43</v>
      </c>
      <c r="B1217" s="46"/>
      <c r="C1217" s="7"/>
      <c r="D1217" s="7"/>
      <c r="E1217" s="7">
        <f t="shared" si="33"/>
        <v>0</v>
      </c>
      <c r="F1217" s="7"/>
      <c r="G1217" s="7"/>
      <c r="H1217" s="2"/>
      <c r="I1217" s="7"/>
      <c r="J1217" s="2"/>
      <c r="K1217" s="7"/>
      <c r="L1217" s="2"/>
      <c r="M1217" s="7"/>
    </row>
    <row r="1218" spans="1:13" ht="12.75">
      <c r="A1218" s="41" t="s">
        <v>30</v>
      </c>
      <c r="B1218" s="46"/>
      <c r="C1218" s="7"/>
      <c r="D1218" s="7"/>
      <c r="E1218" s="7">
        <f t="shared" si="33"/>
        <v>0</v>
      </c>
      <c r="F1218" s="7"/>
      <c r="G1218" s="7"/>
      <c r="H1218" s="2"/>
      <c r="I1218" s="7"/>
      <c r="J1218" s="2"/>
      <c r="K1218" s="7"/>
      <c r="L1218" s="2"/>
      <c r="M1218" s="7"/>
    </row>
    <row r="1219" spans="1:13" ht="12.75">
      <c r="A1219" s="41" t="s">
        <v>54</v>
      </c>
      <c r="B1219" s="46"/>
      <c r="C1219" s="7"/>
      <c r="D1219" s="7"/>
      <c r="E1219" s="7">
        <f t="shared" si="33"/>
        <v>76.300448</v>
      </c>
      <c r="F1219" s="7"/>
      <c r="G1219" s="7">
        <f>0.0196*C1197</f>
        <v>76.300448</v>
      </c>
      <c r="H1219" s="2"/>
      <c r="I1219" s="7"/>
      <c r="J1219" s="2"/>
      <c r="K1219" s="7"/>
      <c r="L1219" s="2"/>
      <c r="M1219" s="7"/>
    </row>
    <row r="1220" spans="1:13" ht="13.5" thickBot="1">
      <c r="A1220" s="48" t="s">
        <v>55</v>
      </c>
      <c r="B1220" s="49"/>
      <c r="C1220" s="50"/>
      <c r="D1220" s="50"/>
      <c r="E1220" s="50">
        <f t="shared" si="33"/>
        <v>315.38453000000004</v>
      </c>
      <c r="F1220" s="50"/>
      <c r="G1220" s="50"/>
      <c r="H1220" s="22"/>
      <c r="I1220" s="50">
        <f>0.0685*C1197</f>
        <v>266.66228</v>
      </c>
      <c r="J1220" s="22"/>
      <c r="K1220" s="50">
        <f>0.0125*K1197</f>
        <v>48.72225</v>
      </c>
      <c r="L1220" s="22"/>
      <c r="M1220" s="50"/>
    </row>
    <row r="1221" spans="1:13" ht="13.5" thickBot="1">
      <c r="A1221" s="51" t="s">
        <v>76</v>
      </c>
      <c r="B1221" s="81"/>
      <c r="C1221" s="63"/>
      <c r="D1221" s="63"/>
      <c r="E1221" s="63">
        <f t="shared" si="33"/>
        <v>267474.682697</v>
      </c>
      <c r="F1221" s="63"/>
      <c r="G1221" s="63">
        <f>G1204+G1206</f>
        <v>66478.98285120001</v>
      </c>
      <c r="H1221" s="26"/>
      <c r="I1221" s="63">
        <f>I1204+I1206</f>
        <v>71993.5271648</v>
      </c>
      <c r="J1221" s="26"/>
      <c r="K1221" s="63">
        <f>K1204+K1206</f>
        <v>67464.4101484</v>
      </c>
      <c r="L1221" s="26"/>
      <c r="M1221" s="29">
        <f>M1204+M1206</f>
        <v>61537.7625326</v>
      </c>
    </row>
    <row r="1222" spans="1:13" ht="21.75">
      <c r="A1222" s="54" t="s">
        <v>15</v>
      </c>
      <c r="B1222" s="55"/>
      <c r="C1222" s="66"/>
      <c r="D1222" s="66"/>
      <c r="E1222" s="56">
        <f t="shared" si="33"/>
        <v>0</v>
      </c>
      <c r="F1222" s="66"/>
      <c r="G1222" s="56"/>
      <c r="H1222" s="74"/>
      <c r="I1222" s="56"/>
      <c r="J1222" s="74"/>
      <c r="K1222" s="56"/>
      <c r="L1222" s="74"/>
      <c r="M1222" s="56"/>
    </row>
    <row r="1223" spans="1:13" ht="12.75">
      <c r="A1223" s="41" t="s">
        <v>17</v>
      </c>
      <c r="B1223" s="46"/>
      <c r="C1223" s="7"/>
      <c r="D1223" s="7"/>
      <c r="E1223" s="7">
        <f t="shared" si="33"/>
        <v>110128.7253758</v>
      </c>
      <c r="F1223" s="7"/>
      <c r="G1223" s="7">
        <f>6.73321*C1197</f>
        <v>26211.5785448</v>
      </c>
      <c r="H1223" s="2"/>
      <c r="I1223" s="7">
        <f>7.02207*C1197</f>
        <v>27336.075861600002</v>
      </c>
      <c r="J1223" s="2"/>
      <c r="K1223" s="7">
        <f>7.2754*K1197</f>
        <v>28357.908612000003</v>
      </c>
      <c r="L1223" s="2"/>
      <c r="M1223" s="7">
        <f>7.24083*K1197</f>
        <v>28223.1623574</v>
      </c>
    </row>
    <row r="1224" spans="1:13" ht="12.75">
      <c r="A1224" s="41" t="s">
        <v>34</v>
      </c>
      <c r="B1224" s="46"/>
      <c r="C1224" s="71"/>
      <c r="D1224" s="7"/>
      <c r="E1224" s="7">
        <f t="shared" si="33"/>
        <v>0</v>
      </c>
      <c r="F1224" s="7"/>
      <c r="G1224" s="7"/>
      <c r="H1224" s="2"/>
      <c r="I1224" s="7"/>
      <c r="J1224" s="2"/>
      <c r="K1224" s="7"/>
      <c r="L1224" s="2"/>
      <c r="M1224" s="7"/>
    </row>
    <row r="1225" spans="1:13" ht="12.75">
      <c r="A1225" s="41" t="s">
        <v>67</v>
      </c>
      <c r="B1225" s="46"/>
      <c r="C1225" s="7"/>
      <c r="D1225" s="7"/>
      <c r="E1225" s="7">
        <f t="shared" si="33"/>
        <v>2375</v>
      </c>
      <c r="F1225" s="7"/>
      <c r="G1225" s="7">
        <v>696</v>
      </c>
      <c r="H1225" s="2"/>
      <c r="I1225" s="7"/>
      <c r="J1225" s="2"/>
      <c r="K1225" s="7"/>
      <c r="L1225" s="2"/>
      <c r="M1225" s="7">
        <v>1679</v>
      </c>
    </row>
    <row r="1226" spans="1:13" ht="12.75">
      <c r="A1226" s="41" t="s">
        <v>68</v>
      </c>
      <c r="B1226" s="46"/>
      <c r="C1226" s="7"/>
      <c r="D1226" s="7"/>
      <c r="E1226" s="7">
        <f t="shared" si="33"/>
        <v>1252.5</v>
      </c>
      <c r="F1226" s="7"/>
      <c r="G1226" s="7"/>
      <c r="H1226" s="2"/>
      <c r="I1226" s="7">
        <v>347.5</v>
      </c>
      <c r="J1226" s="2"/>
      <c r="K1226" s="7">
        <v>160</v>
      </c>
      <c r="L1226" s="2"/>
      <c r="M1226" s="7">
        <v>745</v>
      </c>
    </row>
    <row r="1227" spans="1:13" ht="12.75">
      <c r="A1227" s="41" t="s">
        <v>69</v>
      </c>
      <c r="B1227" s="46"/>
      <c r="C1227" s="7"/>
      <c r="D1227" s="7"/>
      <c r="E1227" s="7">
        <f t="shared" si="33"/>
        <v>0</v>
      </c>
      <c r="F1227" s="7"/>
      <c r="G1227" s="7"/>
      <c r="H1227" s="2"/>
      <c r="I1227" s="7"/>
      <c r="J1227" s="2"/>
      <c r="K1227" s="7"/>
      <c r="L1227" s="2"/>
      <c r="M1227" s="7"/>
    </row>
    <row r="1228" spans="1:13" ht="12.75">
      <c r="A1228" s="41" t="s">
        <v>26</v>
      </c>
      <c r="B1228" s="46"/>
      <c r="C1228" s="7"/>
      <c r="D1228" s="7"/>
      <c r="E1228" s="7">
        <f t="shared" si="33"/>
        <v>3332</v>
      </c>
      <c r="F1228" s="7"/>
      <c r="G1228" s="7"/>
      <c r="H1228" s="2"/>
      <c r="I1228" s="7"/>
      <c r="J1228" s="2"/>
      <c r="K1228" s="7">
        <v>2894</v>
      </c>
      <c r="L1228" s="2"/>
      <c r="M1228" s="7">
        <v>438</v>
      </c>
    </row>
    <row r="1229" spans="1:13" ht="12.75">
      <c r="A1229" s="41" t="s">
        <v>28</v>
      </c>
      <c r="B1229" s="46"/>
      <c r="C1229" s="7"/>
      <c r="D1229" s="7"/>
      <c r="E1229" s="7">
        <f t="shared" si="33"/>
        <v>2500</v>
      </c>
      <c r="F1229" s="7"/>
      <c r="G1229" s="7"/>
      <c r="H1229" s="2"/>
      <c r="I1229" s="7"/>
      <c r="J1229" s="2"/>
      <c r="K1229" s="7"/>
      <c r="L1229" s="2"/>
      <c r="M1229" s="7">
        <v>2500</v>
      </c>
    </row>
    <row r="1230" spans="1:13" ht="12.75">
      <c r="A1230" s="41" t="s">
        <v>291</v>
      </c>
      <c r="B1230" s="46"/>
      <c r="C1230" s="7"/>
      <c r="D1230" s="7"/>
      <c r="E1230" s="7"/>
      <c r="F1230" s="7"/>
      <c r="G1230" s="7"/>
      <c r="H1230" s="2"/>
      <c r="I1230" s="7"/>
      <c r="J1230" s="2"/>
      <c r="K1230" s="7">
        <v>7975</v>
      </c>
      <c r="L1230" s="2"/>
      <c r="M1230" s="7"/>
    </row>
    <row r="1231" spans="1:13" ht="12.75">
      <c r="A1231" s="41" t="s">
        <v>60</v>
      </c>
      <c r="B1231" s="46"/>
      <c r="C1231" s="7"/>
      <c r="D1231" s="7"/>
      <c r="E1231" s="7">
        <f t="shared" si="33"/>
        <v>0</v>
      </c>
      <c r="F1231" s="7"/>
      <c r="G1231" s="7"/>
      <c r="H1231" s="2"/>
      <c r="I1231" s="7"/>
      <c r="J1231" s="2"/>
      <c r="K1231" s="7"/>
      <c r="L1231" s="2"/>
      <c r="M1231" s="7"/>
    </row>
    <row r="1232" spans="1:13" ht="12.75">
      <c r="A1232" s="41" t="s">
        <v>75</v>
      </c>
      <c r="B1232" s="46"/>
      <c r="C1232" s="7"/>
      <c r="D1232" s="7"/>
      <c r="E1232" s="7">
        <f t="shared" si="33"/>
        <v>210</v>
      </c>
      <c r="F1232" s="7"/>
      <c r="G1232" s="7"/>
      <c r="H1232" s="2"/>
      <c r="I1232" s="7"/>
      <c r="J1232" s="2"/>
      <c r="K1232" s="7">
        <v>210</v>
      </c>
      <c r="L1232" s="2"/>
      <c r="M1232" s="7"/>
    </row>
    <row r="1233" spans="1:13" ht="12.75">
      <c r="A1233" s="41" t="s">
        <v>62</v>
      </c>
      <c r="B1233" s="46"/>
      <c r="C1233" s="7"/>
      <c r="D1233" s="7"/>
      <c r="E1233" s="7">
        <f t="shared" si="33"/>
        <v>0</v>
      </c>
      <c r="F1233" s="7"/>
      <c r="G1233" s="7"/>
      <c r="H1233" s="2"/>
      <c r="I1233" s="7"/>
      <c r="J1233" s="2"/>
      <c r="K1233" s="7"/>
      <c r="L1233" s="2"/>
      <c r="M1233" s="7"/>
    </row>
    <row r="1234" spans="1:13" ht="12.75">
      <c r="A1234" s="41" t="s">
        <v>63</v>
      </c>
      <c r="B1234" s="46"/>
      <c r="C1234" s="7"/>
      <c r="D1234" s="7"/>
      <c r="E1234" s="7">
        <f t="shared" si="33"/>
        <v>0</v>
      </c>
      <c r="F1234" s="7"/>
      <c r="G1234" s="7"/>
      <c r="H1234" s="2"/>
      <c r="I1234" s="7"/>
      <c r="J1234" s="2"/>
      <c r="K1234" s="7"/>
      <c r="L1234" s="2"/>
      <c r="M1234" s="7"/>
    </row>
    <row r="1235" spans="1:13" ht="12.75">
      <c r="A1235" s="41" t="s">
        <v>66</v>
      </c>
      <c r="B1235" s="46"/>
      <c r="C1235" s="7"/>
      <c r="D1235" s="7"/>
      <c r="E1235" s="7">
        <f t="shared" si="33"/>
        <v>0</v>
      </c>
      <c r="F1235" s="7"/>
      <c r="G1235" s="7"/>
      <c r="H1235" s="2"/>
      <c r="I1235" s="7"/>
      <c r="J1235" s="2"/>
      <c r="K1235" s="7"/>
      <c r="L1235" s="2"/>
      <c r="M1235" s="7"/>
    </row>
    <row r="1236" spans="1:13" ht="12.75">
      <c r="A1236" s="41" t="s">
        <v>51</v>
      </c>
      <c r="B1236" s="46"/>
      <c r="C1236" s="7"/>
      <c r="D1236" s="7"/>
      <c r="E1236" s="7">
        <f t="shared" si="33"/>
        <v>1859.15</v>
      </c>
      <c r="F1236" s="7"/>
      <c r="G1236" s="7"/>
      <c r="H1236" s="2"/>
      <c r="I1236" s="7">
        <v>1859.15</v>
      </c>
      <c r="J1236" s="2"/>
      <c r="K1236" s="7"/>
      <c r="L1236" s="2"/>
      <c r="M1236" s="7"/>
    </row>
    <row r="1237" spans="1:13" ht="12.75">
      <c r="A1237" s="58" t="s">
        <v>52</v>
      </c>
      <c r="B1237" s="46"/>
      <c r="C1237" s="7"/>
      <c r="D1237" s="7"/>
      <c r="E1237" s="7">
        <f t="shared" si="33"/>
        <v>0</v>
      </c>
      <c r="F1237" s="7"/>
      <c r="G1237" s="7"/>
      <c r="H1237" s="2"/>
      <c r="I1237" s="7"/>
      <c r="J1237" s="2"/>
      <c r="K1237" s="7"/>
      <c r="L1237" s="2"/>
      <c r="M1237" s="7"/>
    </row>
    <row r="1238" spans="1:13" ht="12.75">
      <c r="A1238" s="58" t="s">
        <v>314</v>
      </c>
      <c r="B1238" s="46"/>
      <c r="C1238" s="7"/>
      <c r="D1238" s="7"/>
      <c r="E1238" s="7"/>
      <c r="F1238" s="7"/>
      <c r="G1238" s="7"/>
      <c r="H1238" s="2"/>
      <c r="I1238" s="7"/>
      <c r="J1238" s="2"/>
      <c r="K1238" s="7">
        <v>20</v>
      </c>
      <c r="L1238" s="2"/>
      <c r="M1238" s="7"/>
    </row>
    <row r="1239" spans="1:13" ht="12.75">
      <c r="A1239" s="58" t="s">
        <v>315</v>
      </c>
      <c r="B1239" s="46"/>
      <c r="C1239" s="7"/>
      <c r="D1239" s="7"/>
      <c r="E1239" s="7"/>
      <c r="F1239" s="7"/>
      <c r="G1239" s="7"/>
      <c r="H1239" s="2"/>
      <c r="I1239" s="7"/>
      <c r="J1239" s="2"/>
      <c r="K1239" s="7">
        <v>700</v>
      </c>
      <c r="L1239" s="2"/>
      <c r="M1239" s="7">
        <v>1440</v>
      </c>
    </row>
    <row r="1240" spans="1:13" ht="12.75">
      <c r="A1240" s="41" t="s">
        <v>80</v>
      </c>
      <c r="B1240" s="46"/>
      <c r="C1240" s="7"/>
      <c r="D1240" s="7"/>
      <c r="E1240" s="7">
        <f t="shared" si="33"/>
        <v>0</v>
      </c>
      <c r="F1240" s="7"/>
      <c r="G1240" s="7"/>
      <c r="H1240" s="2"/>
      <c r="I1240" s="7"/>
      <c r="J1240" s="2"/>
      <c r="K1240" s="7"/>
      <c r="L1240" s="2"/>
      <c r="M1240" s="7"/>
    </row>
    <row r="1241" spans="1:13" ht="12.75">
      <c r="A1241" s="41" t="s">
        <v>236</v>
      </c>
      <c r="B1241" s="46"/>
      <c r="C1241" s="7"/>
      <c r="D1241" s="7"/>
      <c r="E1241" s="7">
        <f t="shared" si="33"/>
        <v>880</v>
      </c>
      <c r="F1241" s="7"/>
      <c r="G1241" s="7"/>
      <c r="H1241" s="2"/>
      <c r="I1241" s="7">
        <v>880</v>
      </c>
      <c r="J1241" s="2"/>
      <c r="K1241" s="7"/>
      <c r="L1241" s="2"/>
      <c r="M1241" s="7"/>
    </row>
    <row r="1242" spans="1:13" ht="12.75">
      <c r="A1242" s="41" t="s">
        <v>57</v>
      </c>
      <c r="B1242" s="46"/>
      <c r="C1242" s="7"/>
      <c r="D1242" s="7"/>
      <c r="E1242" s="7">
        <f t="shared" si="33"/>
        <v>27.639448</v>
      </c>
      <c r="F1242" s="7"/>
      <c r="G1242" s="7"/>
      <c r="H1242" s="2"/>
      <c r="I1242" s="7">
        <f>0.0071*C1197</f>
        <v>27.639448</v>
      </c>
      <c r="J1242" s="2"/>
      <c r="K1242" s="7"/>
      <c r="L1242" s="2"/>
      <c r="M1242" s="7"/>
    </row>
    <row r="1243" spans="1:13" ht="12.75">
      <c r="A1243" s="41" t="s">
        <v>33</v>
      </c>
      <c r="B1243" s="46"/>
      <c r="C1243" s="7"/>
      <c r="D1243" s="7"/>
      <c r="E1243" s="7">
        <f t="shared" si="33"/>
        <v>1871</v>
      </c>
      <c r="F1243" s="15"/>
      <c r="G1243" s="7"/>
      <c r="H1243" s="2"/>
      <c r="I1243" s="7"/>
      <c r="J1243" s="2"/>
      <c r="K1243" s="7">
        <v>1871</v>
      </c>
      <c r="L1243" s="2"/>
      <c r="M1243" s="7"/>
    </row>
    <row r="1244" spans="1:13" ht="12.75">
      <c r="A1244" s="41" t="s">
        <v>50</v>
      </c>
      <c r="B1244" s="46"/>
      <c r="C1244" s="7"/>
      <c r="D1244" s="7"/>
      <c r="E1244" s="7">
        <f t="shared" si="33"/>
        <v>4269.4800620000005</v>
      </c>
      <c r="F1244" s="7"/>
      <c r="G1244" s="7">
        <f>0.2455*C1197</f>
        <v>955.70204</v>
      </c>
      <c r="H1244" s="2"/>
      <c r="I1244" s="7">
        <f>0.5802*C1197</f>
        <v>2258.6489760000004</v>
      </c>
      <c r="J1244" s="2"/>
      <c r="K1244" s="7">
        <f>0.1437*K1197</f>
        <v>560.110986</v>
      </c>
      <c r="L1244" s="2"/>
      <c r="M1244" s="7">
        <f>0.127*K1197</f>
        <v>495.01806000000005</v>
      </c>
    </row>
    <row r="1245" spans="1:13" ht="13.5" thickBot="1">
      <c r="A1245" s="48" t="s">
        <v>54</v>
      </c>
      <c r="B1245" s="49"/>
      <c r="C1245" s="50"/>
      <c r="D1245" s="50"/>
      <c r="E1245" s="50">
        <f t="shared" si="33"/>
        <v>120.01340400000001</v>
      </c>
      <c r="F1245" s="50"/>
      <c r="G1245" s="50"/>
      <c r="H1245" s="22"/>
      <c r="I1245" s="50">
        <f>0.0078*C1197</f>
        <v>30.364463999999998</v>
      </c>
      <c r="J1245" s="22"/>
      <c r="K1245" s="50">
        <f>0.011*K1197</f>
        <v>42.87558</v>
      </c>
      <c r="L1245" s="22"/>
      <c r="M1245" s="50">
        <f>0.012*K1197</f>
        <v>46.773360000000004</v>
      </c>
    </row>
    <row r="1246" spans="1:13" ht="13.5" thickBot="1">
      <c r="A1246" s="59" t="s">
        <v>10</v>
      </c>
      <c r="B1246" s="81"/>
      <c r="C1246" s="63"/>
      <c r="D1246" s="63"/>
      <c r="E1246" s="63">
        <f t="shared" si="33"/>
        <v>138960.5082898</v>
      </c>
      <c r="F1246" s="63"/>
      <c r="G1246" s="63">
        <f>SUM(G1223:G1245)</f>
        <v>27863.2805848</v>
      </c>
      <c r="H1246" s="26"/>
      <c r="I1246" s="63">
        <f>SUM(I1223:I1245)</f>
        <v>32739.378749600004</v>
      </c>
      <c r="J1246" s="26"/>
      <c r="K1246" s="63">
        <f>SUM(K1223:K1245)</f>
        <v>42790.895178</v>
      </c>
      <c r="L1246" s="26"/>
      <c r="M1246" s="29">
        <f>SUM(M1223:M1245)</f>
        <v>35566.9537774</v>
      </c>
    </row>
    <row r="1247" spans="1:13" ht="12.75">
      <c r="A1247" s="60" t="s">
        <v>42</v>
      </c>
      <c r="B1247" s="55"/>
      <c r="C1247" s="66"/>
      <c r="D1247" s="66"/>
      <c r="E1247" s="56">
        <f t="shared" si="33"/>
        <v>0</v>
      </c>
      <c r="F1247" s="66"/>
      <c r="G1247" s="56"/>
      <c r="H1247" s="74"/>
      <c r="I1247" s="56"/>
      <c r="J1247" s="74"/>
      <c r="K1247" s="56"/>
      <c r="L1247" s="74"/>
      <c r="M1247" s="56"/>
    </row>
    <row r="1248" spans="1:13" ht="12.75">
      <c r="A1248" s="41" t="s">
        <v>56</v>
      </c>
      <c r="B1248" s="46"/>
      <c r="C1248" s="7"/>
      <c r="D1248" s="7"/>
      <c r="E1248" s="7">
        <f t="shared" si="33"/>
        <v>0</v>
      </c>
      <c r="F1248" s="7"/>
      <c r="G1248" s="7"/>
      <c r="H1248" s="2"/>
      <c r="I1248" s="7"/>
      <c r="J1248" s="2"/>
      <c r="K1248" s="7"/>
      <c r="L1248" s="2"/>
      <c r="M1248" s="7"/>
    </row>
    <row r="1249" spans="1:13" ht="12.75">
      <c r="A1249" s="41" t="s">
        <v>375</v>
      </c>
      <c r="B1249" s="46"/>
      <c r="C1249" s="7"/>
      <c r="D1249" s="7"/>
      <c r="E1249" s="7">
        <f t="shared" si="33"/>
        <v>267.2</v>
      </c>
      <c r="F1249" s="7"/>
      <c r="G1249" s="7"/>
      <c r="H1249" s="2"/>
      <c r="I1249" s="7"/>
      <c r="J1249" s="2"/>
      <c r="K1249" s="7"/>
      <c r="L1249" s="2"/>
      <c r="M1249" s="7">
        <v>267.2</v>
      </c>
    </row>
    <row r="1250" spans="1:13" ht="12.75">
      <c r="A1250" s="41" t="s">
        <v>138</v>
      </c>
      <c r="B1250" s="46"/>
      <c r="C1250" s="7"/>
      <c r="D1250" s="7"/>
      <c r="E1250" s="7">
        <f t="shared" si="33"/>
        <v>398</v>
      </c>
      <c r="F1250" s="7"/>
      <c r="G1250" s="7">
        <v>240</v>
      </c>
      <c r="H1250" s="2"/>
      <c r="I1250" s="7"/>
      <c r="J1250" s="2"/>
      <c r="K1250" s="7"/>
      <c r="L1250" s="2"/>
      <c r="M1250" s="7">
        <v>158</v>
      </c>
    </row>
    <row r="1251" spans="1:13" ht="12.75">
      <c r="A1251" s="48" t="s">
        <v>93</v>
      </c>
      <c r="B1251" s="46"/>
      <c r="C1251" s="7"/>
      <c r="D1251" s="7"/>
      <c r="E1251" s="7">
        <f t="shared" si="33"/>
        <v>7560</v>
      </c>
      <c r="F1251" s="7"/>
      <c r="G1251" s="7">
        <v>7560</v>
      </c>
      <c r="H1251" s="2"/>
      <c r="I1251" s="7"/>
      <c r="J1251" s="2"/>
      <c r="K1251" s="7"/>
      <c r="L1251" s="2"/>
      <c r="M1251" s="7"/>
    </row>
    <row r="1252" spans="1:13" ht="12.75">
      <c r="A1252" s="48" t="s">
        <v>312</v>
      </c>
      <c r="B1252" s="49"/>
      <c r="C1252" s="50"/>
      <c r="D1252" s="50"/>
      <c r="E1252" s="7">
        <f t="shared" si="33"/>
        <v>6524</v>
      </c>
      <c r="F1252" s="50"/>
      <c r="G1252" s="50"/>
      <c r="H1252" s="22"/>
      <c r="I1252" s="50"/>
      <c r="J1252" s="22"/>
      <c r="K1252" s="50">
        <v>6524</v>
      </c>
      <c r="L1252" s="22"/>
      <c r="M1252" s="50"/>
    </row>
    <row r="1253" spans="1:13" ht="12.75">
      <c r="A1253" s="48" t="s">
        <v>313</v>
      </c>
      <c r="B1253" s="49"/>
      <c r="C1253" s="50"/>
      <c r="D1253" s="50"/>
      <c r="E1253" s="7">
        <f t="shared" si="33"/>
        <v>1212.4</v>
      </c>
      <c r="F1253" s="50"/>
      <c r="G1253" s="50"/>
      <c r="H1253" s="22"/>
      <c r="I1253" s="50"/>
      <c r="J1253" s="22"/>
      <c r="K1253" s="50">
        <v>1212.4</v>
      </c>
      <c r="L1253" s="22"/>
      <c r="M1253" s="50"/>
    </row>
    <row r="1254" spans="1:13" ht="13.5" thickBot="1">
      <c r="A1254" s="48" t="s">
        <v>16</v>
      </c>
      <c r="B1254" s="49"/>
      <c r="C1254" s="50"/>
      <c r="D1254" s="50"/>
      <c r="E1254" s="7">
        <f t="shared" si="33"/>
        <v>139.10713600000003</v>
      </c>
      <c r="F1254" s="50"/>
      <c r="G1254" s="50">
        <f>0.0089*C1197</f>
        <v>34.646632000000004</v>
      </c>
      <c r="H1254" s="22"/>
      <c r="I1254" s="50"/>
      <c r="J1254" s="22"/>
      <c r="K1254" s="50"/>
      <c r="L1254" s="22"/>
      <c r="M1254" s="50">
        <f>0.0268*K1197</f>
        <v>104.46050400000001</v>
      </c>
    </row>
    <row r="1255" spans="1:13" ht="13.5" thickBot="1">
      <c r="A1255" s="62" t="s">
        <v>10</v>
      </c>
      <c r="B1255" s="81"/>
      <c r="C1255" s="63"/>
      <c r="D1255" s="63"/>
      <c r="E1255" s="63">
        <f t="shared" si="33"/>
        <v>16100.707135999999</v>
      </c>
      <c r="F1255" s="63"/>
      <c r="G1255" s="63">
        <f>SUM(G1250:G1254)</f>
        <v>7834.646632</v>
      </c>
      <c r="H1255" s="26"/>
      <c r="I1255" s="63"/>
      <c r="J1255" s="26"/>
      <c r="K1255" s="63">
        <f>SUM(K1248:K1254)</f>
        <v>7736.4</v>
      </c>
      <c r="L1255" s="26"/>
      <c r="M1255" s="29">
        <f>SUM(M1248:M1254)</f>
        <v>529.660504</v>
      </c>
    </row>
    <row r="1256" spans="1:13" ht="13.5" thickBot="1">
      <c r="A1256" s="64" t="s">
        <v>29</v>
      </c>
      <c r="B1256" s="81"/>
      <c r="C1256" s="63"/>
      <c r="D1256" s="63"/>
      <c r="E1256" s="63">
        <f t="shared" si="33"/>
        <v>8931.438775999999</v>
      </c>
      <c r="F1256" s="63"/>
      <c r="G1256" s="63">
        <f>0.4236*C1197</f>
        <v>1649.023968</v>
      </c>
      <c r="H1256" s="26"/>
      <c r="I1256" s="63">
        <f>0.5971*C1197</f>
        <v>2324.438648</v>
      </c>
      <c r="J1256" s="26"/>
      <c r="K1256" s="63"/>
      <c r="L1256" s="26"/>
      <c r="M1256" s="29">
        <f>1.272*K1197</f>
        <v>4957.97616</v>
      </c>
    </row>
    <row r="1257" spans="1:13" ht="21.75">
      <c r="A1257" s="65" t="s">
        <v>83</v>
      </c>
      <c r="B1257" s="61"/>
      <c r="C1257" s="56"/>
      <c r="D1257" s="56"/>
      <c r="E1257" s="56">
        <f t="shared" si="33"/>
        <v>431467.3368988</v>
      </c>
      <c r="F1257" s="56"/>
      <c r="G1257" s="56">
        <f>G1221+G1246+G1255+G1256</f>
        <v>103825.934036</v>
      </c>
      <c r="H1257" s="74"/>
      <c r="I1257" s="56">
        <f>I1221+I1246+I1255+I1256</f>
        <v>107057.3445624</v>
      </c>
      <c r="J1257" s="74"/>
      <c r="K1257" s="56">
        <f>K1221+K1246+K1255+K1256</f>
        <v>117991.7053264</v>
      </c>
      <c r="L1257" s="74"/>
      <c r="M1257" s="56">
        <f>M1221+M1246+M1255+M1256</f>
        <v>102592.352974</v>
      </c>
    </row>
    <row r="1258" spans="1:13" ht="33.75">
      <c r="A1258" s="67" t="s">
        <v>84</v>
      </c>
      <c r="B1258" s="46"/>
      <c r="C1258" s="7"/>
      <c r="D1258" s="7"/>
      <c r="E1258" s="8">
        <f>E1257/C1197/12</f>
        <v>9.236249616796133</v>
      </c>
      <c r="F1258" s="7"/>
      <c r="G1258" s="8">
        <f>G1257/3/C1197</f>
        <v>8.890241846310873</v>
      </c>
      <c r="H1258" s="2"/>
      <c r="I1258" s="8">
        <f>I1257/3/C1197</f>
        <v>9.166935924251455</v>
      </c>
      <c r="J1258" s="2"/>
      <c r="K1258" s="8">
        <f>K1257/3/K1197</f>
        <v>10.09050496491165</v>
      </c>
      <c r="L1258" s="2"/>
      <c r="M1258" s="8">
        <f>M1257/3/K1197</f>
        <v>8.77357136404141</v>
      </c>
    </row>
    <row r="1259" spans="1:13" ht="12.75">
      <c r="A1259" s="69" t="s">
        <v>20</v>
      </c>
      <c r="B1259" s="44"/>
      <c r="C1259" s="45"/>
      <c r="D1259" s="45"/>
      <c r="E1259" s="45">
        <f>E1202-E1257</f>
        <v>53368.44310120004</v>
      </c>
      <c r="F1259" s="45"/>
      <c r="G1259" s="75">
        <f>G1202-G1257</f>
        <v>9572.195963999999</v>
      </c>
      <c r="H1259" s="2"/>
      <c r="I1259" s="7">
        <f>I1202-I1257+G1259</f>
        <v>21054.5414016</v>
      </c>
      <c r="J1259" s="2"/>
      <c r="K1259" s="7">
        <f>K1202-K1257+I1259</f>
        <v>33744.4260752</v>
      </c>
      <c r="L1259" s="2"/>
      <c r="M1259" s="7">
        <f>M1202-M1257+K1259</f>
        <v>53368.4431012</v>
      </c>
    </row>
    <row r="1260" spans="1:13" ht="12.75">
      <c r="A1260" s="14" t="s">
        <v>24</v>
      </c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</row>
    <row r="1261" spans="1:13" ht="12.75">
      <c r="A1261" s="14" t="s">
        <v>35</v>
      </c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</row>
    <row r="1262" spans="1:13" ht="12.75">
      <c r="A1262" s="14" t="s">
        <v>25</v>
      </c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</row>
    <row r="1263" spans="1:13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</row>
    <row r="1264" spans="1:13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</row>
    <row r="1265" spans="1:13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</row>
    <row r="1266" spans="1:13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</row>
    <row r="1267" spans="1:13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</row>
    <row r="1268" spans="1:13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</row>
    <row r="1269" spans="1:13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</row>
    <row r="1270" spans="1:13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</row>
    <row r="1271" spans="1:13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</row>
    <row r="1272" spans="1:13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</row>
    <row r="1273" spans="1:13" ht="2.25" customHeight="1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</row>
    <row r="1274" spans="1:13" ht="12.75" hidden="1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</row>
    <row r="1275" spans="1:13" ht="0.75" customHeight="1" hidden="1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</row>
    <row r="1276" spans="1:13" ht="12.75" hidden="1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</row>
    <row r="1277" spans="1:13" ht="12.75" hidden="1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</row>
    <row r="1278" spans="1:13" ht="12.75" hidden="1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</row>
    <row r="1279" spans="1:13" ht="12.75" hidden="1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</row>
    <row r="1280" spans="1:13" ht="12.75" hidden="1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</row>
    <row r="1281" spans="1:13" ht="12.75" hidden="1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</row>
    <row r="1282" spans="1:13" ht="12.75" hidden="1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</row>
    <row r="1283" spans="1:13" ht="12.75" hidden="1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</row>
    <row r="1284" spans="1:13" ht="12.75" hidden="1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</row>
    <row r="1285" spans="1:13" ht="12.75" hidden="1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</row>
    <row r="1286" spans="1:13" ht="12.75">
      <c r="A1286" s="31" t="s">
        <v>21</v>
      </c>
      <c r="B1286" s="31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</row>
    <row r="1287" spans="1:13" ht="12.75">
      <c r="A1287" s="14" t="s">
        <v>31</v>
      </c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</row>
    <row r="1288" spans="1:13" ht="12.75">
      <c r="A1288" s="14" t="s">
        <v>41</v>
      </c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</row>
    <row r="1289" spans="1:13" ht="12.75">
      <c r="A1289" s="14" t="s">
        <v>114</v>
      </c>
      <c r="B1289" s="14"/>
      <c r="C1289" s="14"/>
      <c r="D1289" s="14"/>
      <c r="E1289" s="14" t="s">
        <v>32</v>
      </c>
      <c r="F1289" s="14"/>
      <c r="G1289" s="14"/>
      <c r="H1289" s="14"/>
      <c r="I1289" s="14"/>
      <c r="J1289" s="14"/>
      <c r="K1289" s="14"/>
      <c r="L1289" s="14"/>
      <c r="M1289" s="14"/>
    </row>
    <row r="1290" spans="1:13" ht="12.75" customHeight="1">
      <c r="A1290" s="6" t="s">
        <v>0</v>
      </c>
      <c r="B1290" s="151" t="s">
        <v>38</v>
      </c>
      <c r="C1290" s="152"/>
      <c r="D1290" s="149" t="s">
        <v>39</v>
      </c>
      <c r="E1290" s="150"/>
      <c r="F1290" s="149" t="s">
        <v>96</v>
      </c>
      <c r="G1290" s="150"/>
      <c r="H1290" s="149" t="s">
        <v>97</v>
      </c>
      <c r="I1290" s="150"/>
      <c r="J1290" s="149" t="s">
        <v>98</v>
      </c>
      <c r="K1290" s="150"/>
      <c r="L1290" s="149" t="s">
        <v>99</v>
      </c>
      <c r="M1290" s="150"/>
    </row>
    <row r="1291" spans="1:13" ht="12.75">
      <c r="A1291" s="11" t="s">
        <v>5</v>
      </c>
      <c r="B1291" s="153"/>
      <c r="C1291" s="154"/>
      <c r="D1291" s="6" t="s">
        <v>40</v>
      </c>
      <c r="E1291" s="6" t="s">
        <v>22</v>
      </c>
      <c r="F1291" s="6" t="s">
        <v>40</v>
      </c>
      <c r="G1291" s="13" t="s">
        <v>22</v>
      </c>
      <c r="H1291" s="2"/>
      <c r="I1291" s="2"/>
      <c r="J1291" s="2"/>
      <c r="K1291" s="2"/>
      <c r="L1291" s="2"/>
      <c r="M1291" s="2"/>
    </row>
    <row r="1292" spans="1:13" ht="12.75">
      <c r="A1292" s="2" t="s">
        <v>1</v>
      </c>
      <c r="B1292" s="2"/>
      <c r="C1292" s="6">
        <v>5</v>
      </c>
      <c r="D1292" s="2"/>
      <c r="E1292" s="2"/>
      <c r="F1292" s="2"/>
      <c r="G1292" s="2"/>
      <c r="H1292" s="2"/>
      <c r="I1292" s="2"/>
      <c r="J1292" s="2"/>
      <c r="K1292" s="2"/>
      <c r="L1292" s="2"/>
      <c r="M1292" s="2"/>
    </row>
    <row r="1293" spans="1:13" ht="12.75">
      <c r="A1293" s="2" t="s">
        <v>2</v>
      </c>
      <c r="B1293" s="2"/>
      <c r="C1293" s="6">
        <v>6</v>
      </c>
      <c r="D1293" s="2"/>
      <c r="E1293" s="2"/>
      <c r="F1293" s="2"/>
      <c r="G1293" s="2"/>
      <c r="H1293" s="2"/>
      <c r="I1293" s="2"/>
      <c r="J1293" s="2"/>
      <c r="K1293" s="2"/>
      <c r="L1293" s="2"/>
      <c r="M1293" s="2"/>
    </row>
    <row r="1294" spans="1:13" ht="12.75">
      <c r="A1294" s="2" t="s">
        <v>3</v>
      </c>
      <c r="B1294" s="2"/>
      <c r="C1294" s="6">
        <v>60</v>
      </c>
      <c r="D1294" s="2"/>
      <c r="E1294" s="2"/>
      <c r="F1294" s="2"/>
      <c r="G1294" s="2"/>
      <c r="H1294" s="2"/>
      <c r="I1294" s="2"/>
      <c r="J1294" s="2"/>
      <c r="K1294" s="2"/>
      <c r="L1294" s="2"/>
      <c r="M1294" s="2"/>
    </row>
    <row r="1295" spans="1:13" ht="12.75">
      <c r="A1295" s="2" t="s">
        <v>4</v>
      </c>
      <c r="B1295" s="6"/>
      <c r="C1295" s="6">
        <v>3615.45</v>
      </c>
      <c r="D1295" s="6"/>
      <c r="E1295" s="6"/>
      <c r="F1295" s="6"/>
      <c r="G1295" s="2"/>
      <c r="H1295" s="2"/>
      <c r="I1295" s="2"/>
      <c r="J1295" s="2"/>
      <c r="K1295" s="2">
        <v>3617.76</v>
      </c>
      <c r="L1295" s="2"/>
      <c r="M1295" s="2"/>
    </row>
    <row r="1296" spans="1:13" ht="21.75">
      <c r="A1296" s="35" t="s">
        <v>6</v>
      </c>
      <c r="B1296" s="11" t="s">
        <v>40</v>
      </c>
      <c r="C1296" s="2" t="s">
        <v>22</v>
      </c>
      <c r="D1296" s="2"/>
      <c r="E1296" s="2"/>
      <c r="F1296" s="2"/>
      <c r="G1296" s="2"/>
      <c r="H1296" s="2"/>
      <c r="I1296" s="2"/>
      <c r="J1296" s="2"/>
      <c r="K1296" s="2"/>
      <c r="L1296" s="2"/>
      <c r="M1296" s="2"/>
    </row>
    <row r="1297" spans="1:13" ht="22.5">
      <c r="A1297" s="40" t="s">
        <v>7</v>
      </c>
      <c r="B1297" s="3"/>
      <c r="C1297" s="6"/>
      <c r="D1297" s="6"/>
      <c r="E1297" s="6">
        <f>G1297+I1297+K1297+M1297</f>
        <v>370915.82999999996</v>
      </c>
      <c r="F1297" s="2"/>
      <c r="G1297" s="2">
        <v>72855.52</v>
      </c>
      <c r="H1297" s="2"/>
      <c r="I1297" s="2">
        <v>100648.45</v>
      </c>
      <c r="J1297" s="2"/>
      <c r="K1297" s="2">
        <v>92981.89</v>
      </c>
      <c r="L1297" s="2"/>
      <c r="M1297" s="2">
        <v>104429.97</v>
      </c>
    </row>
    <row r="1298" spans="1:13" ht="12.75">
      <c r="A1298" s="41" t="s">
        <v>8</v>
      </c>
      <c r="B1298" s="3"/>
      <c r="C1298" s="6"/>
      <c r="D1298" s="6"/>
      <c r="E1298" s="6"/>
      <c r="F1298" s="2"/>
      <c r="G1298" s="2"/>
      <c r="H1298" s="2"/>
      <c r="I1298" s="2"/>
      <c r="J1298" s="2"/>
      <c r="K1298" s="2"/>
      <c r="L1298" s="2"/>
      <c r="M1298" s="2"/>
    </row>
    <row r="1299" spans="1:13" ht="12.75">
      <c r="A1299" s="41" t="s">
        <v>9</v>
      </c>
      <c r="B1299" s="3"/>
      <c r="C1299" s="6"/>
      <c r="D1299" s="6"/>
      <c r="E1299" s="6"/>
      <c r="F1299" s="2"/>
      <c r="G1299" s="2"/>
      <c r="H1299" s="2"/>
      <c r="I1299" s="2"/>
      <c r="J1299" s="2"/>
      <c r="K1299" s="2"/>
      <c r="L1299" s="2"/>
      <c r="M1299" s="2"/>
    </row>
    <row r="1300" spans="1:13" ht="12.75">
      <c r="A1300" s="2" t="s">
        <v>10</v>
      </c>
      <c r="B1300" s="42"/>
      <c r="C1300" s="11"/>
      <c r="D1300" s="11"/>
      <c r="E1300" s="11">
        <f>SUM(E1297:E1299)</f>
        <v>370915.82999999996</v>
      </c>
      <c r="F1300" s="37"/>
      <c r="G1300" s="2">
        <f>SUM(G1297:G1299)</f>
        <v>72855.52</v>
      </c>
      <c r="H1300" s="2"/>
      <c r="I1300" s="2">
        <f>SUM(I1297:I1299)</f>
        <v>100648.45</v>
      </c>
      <c r="J1300" s="2"/>
      <c r="K1300" s="2">
        <f>SUM(K1297:K1299)</f>
        <v>92981.89</v>
      </c>
      <c r="L1300" s="2"/>
      <c r="M1300" s="2">
        <f>SUM(M1297:M1299)</f>
        <v>104429.97</v>
      </c>
    </row>
    <row r="1301" spans="1:13" ht="21.75">
      <c r="A1301" s="35" t="s">
        <v>82</v>
      </c>
      <c r="B1301" s="4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</row>
    <row r="1302" spans="1:13" ht="12.75">
      <c r="A1302" s="43" t="s">
        <v>11</v>
      </c>
      <c r="B1302" s="44"/>
      <c r="C1302" s="45"/>
      <c r="D1302" s="45"/>
      <c r="E1302" s="7">
        <f>G1302+I1302+K1302+M1302</f>
        <v>117971.10364259999</v>
      </c>
      <c r="F1302" s="45"/>
      <c r="G1302" s="7">
        <f>7.99407*C1295</f>
        <v>28902.160381499998</v>
      </c>
      <c r="H1302" s="2"/>
      <c r="I1302" s="7">
        <f>9.57707*C1295</f>
        <v>34625.4177315</v>
      </c>
      <c r="J1302" s="2"/>
      <c r="K1302" s="7">
        <f>7.32829*K1295</f>
        <v>26511.994430400002</v>
      </c>
      <c r="L1302" s="2"/>
      <c r="M1302" s="7">
        <f>7.72067*K1295</f>
        <v>27931.5310992</v>
      </c>
    </row>
    <row r="1303" spans="1:13" ht="12.75">
      <c r="A1303" s="43" t="s">
        <v>12</v>
      </c>
      <c r="B1303" s="46"/>
      <c r="C1303" s="7"/>
      <c r="D1303" s="7"/>
      <c r="E1303" s="7">
        <f aca="true" t="shared" si="34" ref="E1303:E1352">G1303+I1303+K1303+M1303</f>
        <v>0</v>
      </c>
      <c r="F1303" s="7"/>
      <c r="G1303" s="7"/>
      <c r="H1303" s="2"/>
      <c r="I1303" s="7"/>
      <c r="J1303" s="2"/>
      <c r="K1303" s="7"/>
      <c r="L1303" s="2"/>
      <c r="M1303" s="7"/>
    </row>
    <row r="1304" spans="1:13" ht="12.75">
      <c r="A1304" s="41" t="s">
        <v>13</v>
      </c>
      <c r="B1304" s="46"/>
      <c r="C1304" s="7"/>
      <c r="D1304" s="7"/>
      <c r="E1304" s="7">
        <f t="shared" si="34"/>
        <v>149111.7216444</v>
      </c>
      <c r="F1304" s="7"/>
      <c r="G1304" s="7">
        <f>G1305+G1307+G1308+G1309+G1310+G1311+G1312+G1313+G1314+G1315+G1316</f>
        <v>36236.8702265</v>
      </c>
      <c r="H1304" s="2"/>
      <c r="I1304" s="7">
        <f>I1305+I1307+I1308+I1309+I1310+I1311+I1312+I1313+I1314+I1315+I1316</f>
        <v>38855.128395499996</v>
      </c>
      <c r="J1304" s="2"/>
      <c r="K1304" s="7">
        <f>K1305+K1307+K1308+K1309+K1310+K1311+K1312+K1313+K1314+K1315+K1316</f>
        <v>39628.058382400006</v>
      </c>
      <c r="L1304" s="2"/>
      <c r="M1304" s="7">
        <f>M1305+M1307+M1308+M1309+M1310+M1311+M1312+M1313+M1314+M1315+M1316</f>
        <v>34391.66464</v>
      </c>
    </row>
    <row r="1305" spans="1:13" ht="12.75">
      <c r="A1305" s="47" t="s">
        <v>14</v>
      </c>
      <c r="B1305" s="46"/>
      <c r="C1305" s="71"/>
      <c r="D1305" s="7"/>
      <c r="E1305" s="7">
        <f t="shared" si="34"/>
        <v>130358</v>
      </c>
      <c r="F1305" s="7"/>
      <c r="G1305" s="7">
        <v>33674</v>
      </c>
      <c r="H1305" s="2"/>
      <c r="I1305" s="7">
        <v>32604</v>
      </c>
      <c r="J1305" s="2"/>
      <c r="K1305" s="7">
        <v>34192</v>
      </c>
      <c r="L1305" s="2"/>
      <c r="M1305" s="7">
        <v>29888</v>
      </c>
    </row>
    <row r="1306" spans="1:13" ht="12.75">
      <c r="A1306" s="41" t="s">
        <v>19</v>
      </c>
      <c r="B1306" s="46"/>
      <c r="C1306" s="71"/>
      <c r="D1306" s="7"/>
      <c r="E1306" s="7">
        <f t="shared" si="34"/>
        <v>86432.15</v>
      </c>
      <c r="F1306" s="7"/>
      <c r="G1306" s="7">
        <v>21619.15</v>
      </c>
      <c r="H1306" s="2"/>
      <c r="I1306" s="7">
        <v>21619</v>
      </c>
      <c r="J1306" s="2"/>
      <c r="K1306" s="7">
        <v>21597</v>
      </c>
      <c r="L1306" s="2"/>
      <c r="M1306" s="7">
        <v>21597</v>
      </c>
    </row>
    <row r="1307" spans="1:13" ht="12.75">
      <c r="A1307" s="41" t="s">
        <v>18</v>
      </c>
      <c r="B1307" s="46"/>
      <c r="C1307" s="7"/>
      <c r="D1307" s="7"/>
      <c r="E1307" s="7">
        <f t="shared" si="34"/>
        <v>1343.58</v>
      </c>
      <c r="F1307" s="7"/>
      <c r="G1307" s="7">
        <v>210.68</v>
      </c>
      <c r="H1307" s="2"/>
      <c r="I1307" s="7">
        <v>296.51</v>
      </c>
      <c r="J1307" s="2"/>
      <c r="K1307" s="7">
        <v>401.51</v>
      </c>
      <c r="L1307" s="2"/>
      <c r="M1307" s="7">
        <v>434.88</v>
      </c>
    </row>
    <row r="1308" spans="1:13" ht="12.75">
      <c r="A1308" s="41" t="s">
        <v>53</v>
      </c>
      <c r="B1308" s="46"/>
      <c r="C1308" s="7"/>
      <c r="D1308" s="7"/>
      <c r="E1308" s="7">
        <f t="shared" si="34"/>
        <v>6958.258499400001</v>
      </c>
      <c r="F1308" s="7"/>
      <c r="G1308" s="7">
        <f>0.54857*C1295</f>
        <v>1983.3274064999998</v>
      </c>
      <c r="H1308" s="2"/>
      <c r="I1308" s="7">
        <f>0.53049*C1295</f>
        <v>1917.9600705</v>
      </c>
      <c r="J1308" s="2"/>
      <c r="K1308" s="7">
        <f>0.60599*K1295</f>
        <v>2192.3263824</v>
      </c>
      <c r="L1308" s="2"/>
      <c r="M1308" s="7">
        <f>0.239*K1295</f>
        <v>864.64464</v>
      </c>
    </row>
    <row r="1309" spans="1:13" ht="12.75">
      <c r="A1309" s="41" t="s">
        <v>148</v>
      </c>
      <c r="B1309" s="46"/>
      <c r="C1309" s="7"/>
      <c r="D1309" s="7"/>
      <c r="E1309" s="7">
        <f t="shared" si="34"/>
        <v>1813</v>
      </c>
      <c r="F1309" s="7"/>
      <c r="G1309" s="7">
        <v>298</v>
      </c>
      <c r="H1309" s="2"/>
      <c r="I1309" s="7">
        <v>1515</v>
      </c>
      <c r="J1309" s="2"/>
      <c r="K1309" s="7"/>
      <c r="L1309" s="2"/>
      <c r="M1309" s="7"/>
    </row>
    <row r="1310" spans="1:13" ht="12.75">
      <c r="A1310" s="41" t="s">
        <v>27</v>
      </c>
      <c r="B1310" s="46"/>
      <c r="C1310" s="7"/>
      <c r="D1310" s="7"/>
      <c r="E1310" s="7">
        <f t="shared" si="34"/>
        <v>1251</v>
      </c>
      <c r="F1310" s="7"/>
      <c r="G1310" s="7"/>
      <c r="H1310" s="2"/>
      <c r="I1310" s="7">
        <v>1251</v>
      </c>
      <c r="J1310" s="2"/>
      <c r="K1310" s="7"/>
      <c r="L1310" s="2"/>
      <c r="M1310" s="7"/>
    </row>
    <row r="1311" spans="1:13" ht="12.75">
      <c r="A1311" s="41" t="s">
        <v>36</v>
      </c>
      <c r="B1311" s="46"/>
      <c r="C1311" s="7"/>
      <c r="D1311" s="7"/>
      <c r="E1311" s="7">
        <f t="shared" si="34"/>
        <v>7024.139999999999</v>
      </c>
      <c r="F1311" s="7"/>
      <c r="G1311" s="7"/>
      <c r="H1311" s="2" t="s">
        <v>230</v>
      </c>
      <c r="I1311" s="7">
        <v>1023</v>
      </c>
      <c r="J1311" s="2" t="s">
        <v>316</v>
      </c>
      <c r="K1311" s="7">
        <v>2797</v>
      </c>
      <c r="L1311" s="2" t="s">
        <v>419</v>
      </c>
      <c r="M1311" s="7">
        <v>3204.14</v>
      </c>
    </row>
    <row r="1312" spans="1:13" ht="12.75">
      <c r="A1312" s="41" t="s">
        <v>58</v>
      </c>
      <c r="B1312" s="46"/>
      <c r="C1312" s="7"/>
      <c r="D1312" s="7"/>
      <c r="E1312" s="7">
        <f t="shared" si="34"/>
        <v>0</v>
      </c>
      <c r="F1312" s="7"/>
      <c r="G1312" s="7"/>
      <c r="H1312" s="2"/>
      <c r="I1312" s="7"/>
      <c r="J1312" s="2"/>
      <c r="K1312" s="7"/>
      <c r="L1312" s="2"/>
      <c r="M1312" s="7"/>
    </row>
    <row r="1313" spans="1:13" ht="12.75">
      <c r="A1313" s="41" t="s">
        <v>43</v>
      </c>
      <c r="B1313" s="46"/>
      <c r="C1313" s="7"/>
      <c r="D1313" s="7"/>
      <c r="E1313" s="7">
        <f t="shared" si="34"/>
        <v>0</v>
      </c>
      <c r="F1313" s="7"/>
      <c r="G1313" s="7"/>
      <c r="H1313" s="2"/>
      <c r="I1313" s="7"/>
      <c r="J1313" s="2"/>
      <c r="K1313" s="7"/>
      <c r="L1313" s="2"/>
      <c r="M1313" s="7"/>
    </row>
    <row r="1314" spans="1:13" ht="12.75">
      <c r="A1314" s="41" t="s">
        <v>30</v>
      </c>
      <c r="B1314" s="46"/>
      <c r="C1314" s="7"/>
      <c r="D1314" s="7"/>
      <c r="E1314" s="7">
        <f t="shared" si="34"/>
        <v>0</v>
      </c>
      <c r="F1314" s="7"/>
      <c r="G1314" s="7"/>
      <c r="H1314" s="2"/>
      <c r="I1314" s="7"/>
      <c r="J1314" s="2"/>
      <c r="K1314" s="7"/>
      <c r="L1314" s="2"/>
      <c r="M1314" s="7"/>
    </row>
    <row r="1315" spans="1:13" ht="12.75">
      <c r="A1315" s="41" t="s">
        <v>54</v>
      </c>
      <c r="B1315" s="46"/>
      <c r="C1315" s="7"/>
      <c r="D1315" s="7"/>
      <c r="E1315" s="7">
        <f t="shared" si="34"/>
        <v>70.86282</v>
      </c>
      <c r="F1315" s="7"/>
      <c r="G1315" s="7">
        <f>0.0196*C1295</f>
        <v>70.86282</v>
      </c>
      <c r="H1315" s="2"/>
      <c r="I1315" s="7"/>
      <c r="J1315" s="2"/>
      <c r="K1315" s="7"/>
      <c r="L1315" s="2"/>
      <c r="M1315" s="7"/>
    </row>
    <row r="1316" spans="1:13" ht="13.5" thickBot="1">
      <c r="A1316" s="48" t="s">
        <v>55</v>
      </c>
      <c r="B1316" s="49"/>
      <c r="C1316" s="50"/>
      <c r="D1316" s="50"/>
      <c r="E1316" s="50">
        <f t="shared" si="34"/>
        <v>292.880325</v>
      </c>
      <c r="F1316" s="50"/>
      <c r="G1316" s="50"/>
      <c r="H1316" s="22"/>
      <c r="I1316" s="50">
        <f>0.0685*C1295</f>
        <v>247.65832500000002</v>
      </c>
      <c r="J1316" s="22"/>
      <c r="K1316" s="50">
        <f>0.0125*K1295</f>
        <v>45.22200000000001</v>
      </c>
      <c r="L1316" s="22"/>
      <c r="M1316" s="50"/>
    </row>
    <row r="1317" spans="1:13" ht="13.5" thickBot="1">
      <c r="A1317" s="51" t="s">
        <v>76</v>
      </c>
      <c r="B1317" s="81"/>
      <c r="C1317" s="63"/>
      <c r="D1317" s="63"/>
      <c r="E1317" s="63">
        <f t="shared" si="34"/>
        <v>267082.82528700004</v>
      </c>
      <c r="F1317" s="63"/>
      <c r="G1317" s="63">
        <f>G1302+G1304</f>
        <v>65139.030608</v>
      </c>
      <c r="H1317" s="26"/>
      <c r="I1317" s="63">
        <f>I1302+I1304</f>
        <v>73480.546127</v>
      </c>
      <c r="J1317" s="26"/>
      <c r="K1317" s="63">
        <f>K1302+K1304</f>
        <v>66140.05281280002</v>
      </c>
      <c r="L1317" s="26"/>
      <c r="M1317" s="29">
        <f>M1302+M1304</f>
        <v>62323.195739200004</v>
      </c>
    </row>
    <row r="1318" spans="1:13" ht="21.75">
      <c r="A1318" s="54" t="s">
        <v>15</v>
      </c>
      <c r="B1318" s="55"/>
      <c r="C1318" s="66"/>
      <c r="D1318" s="66"/>
      <c r="E1318" s="56">
        <f t="shared" si="34"/>
        <v>0</v>
      </c>
      <c r="F1318" s="66"/>
      <c r="G1318" s="56"/>
      <c r="H1318" s="74"/>
      <c r="I1318" s="56"/>
      <c r="J1318" s="74"/>
      <c r="K1318" s="56"/>
      <c r="L1318" s="74"/>
      <c r="M1318" s="56"/>
    </row>
    <row r="1319" spans="1:13" ht="12.75">
      <c r="A1319" s="41" t="s">
        <v>17</v>
      </c>
      <c r="B1319" s="46"/>
      <c r="C1319" s="7"/>
      <c r="D1319" s="7"/>
      <c r="E1319" s="7">
        <f t="shared" si="34"/>
        <v>102247.7633208</v>
      </c>
      <c r="F1319" s="7"/>
      <c r="G1319" s="7">
        <f>6.73321*C1295</f>
        <v>24343.584094499998</v>
      </c>
      <c r="H1319" s="2"/>
      <c r="I1319" s="7">
        <f>7.02207*C1295</f>
        <v>25387.9429815</v>
      </c>
      <c r="J1319" s="2"/>
      <c r="K1319" s="7">
        <f>7.2754*K1295</f>
        <v>26320.651104000004</v>
      </c>
      <c r="L1319" s="2"/>
      <c r="M1319" s="7">
        <f>7.24083*K1295</f>
        <v>26195.5851408</v>
      </c>
    </row>
    <row r="1320" spans="1:13" ht="12.75">
      <c r="A1320" s="41" t="s">
        <v>34</v>
      </c>
      <c r="B1320" s="46"/>
      <c r="C1320" s="71"/>
      <c r="D1320" s="7"/>
      <c r="E1320" s="7">
        <f t="shared" si="34"/>
        <v>0</v>
      </c>
      <c r="F1320" s="7"/>
      <c r="G1320" s="7"/>
      <c r="H1320" s="2"/>
      <c r="I1320" s="7"/>
      <c r="J1320" s="2"/>
      <c r="K1320" s="7"/>
      <c r="L1320" s="2"/>
      <c r="M1320" s="7"/>
    </row>
    <row r="1321" spans="1:13" ht="12.75">
      <c r="A1321" s="41" t="s">
        <v>67</v>
      </c>
      <c r="B1321" s="46"/>
      <c r="C1321" s="7"/>
      <c r="D1321" s="7"/>
      <c r="E1321" s="7">
        <f t="shared" si="34"/>
        <v>28432</v>
      </c>
      <c r="F1321" s="7"/>
      <c r="G1321" s="7">
        <v>18493</v>
      </c>
      <c r="H1321" s="2"/>
      <c r="I1321" s="7">
        <v>5963</v>
      </c>
      <c r="J1321" s="2"/>
      <c r="K1321" s="7">
        <v>2370</v>
      </c>
      <c r="L1321" s="2"/>
      <c r="M1321" s="7">
        <v>1606</v>
      </c>
    </row>
    <row r="1322" spans="1:13" ht="12.75">
      <c r="A1322" s="41" t="s">
        <v>68</v>
      </c>
      <c r="B1322" s="46"/>
      <c r="C1322" s="7"/>
      <c r="D1322" s="7"/>
      <c r="E1322" s="7">
        <f t="shared" si="34"/>
        <v>3086.5</v>
      </c>
      <c r="F1322" s="7"/>
      <c r="G1322" s="7">
        <v>712.5</v>
      </c>
      <c r="H1322" s="2"/>
      <c r="I1322" s="7">
        <v>2374</v>
      </c>
      <c r="J1322" s="2"/>
      <c r="K1322" s="7"/>
      <c r="L1322" s="2"/>
      <c r="M1322" s="7"/>
    </row>
    <row r="1323" spans="1:13" ht="12.75">
      <c r="A1323" s="41" t="s">
        <v>69</v>
      </c>
      <c r="B1323" s="46"/>
      <c r="C1323" s="7"/>
      <c r="D1323" s="7"/>
      <c r="E1323" s="7">
        <f t="shared" si="34"/>
        <v>1285</v>
      </c>
      <c r="F1323" s="7"/>
      <c r="G1323" s="7">
        <v>428</v>
      </c>
      <c r="H1323" s="2"/>
      <c r="I1323" s="7">
        <v>342</v>
      </c>
      <c r="J1323" s="2"/>
      <c r="K1323" s="7"/>
      <c r="L1323" s="2"/>
      <c r="M1323" s="7">
        <v>515</v>
      </c>
    </row>
    <row r="1324" spans="1:13" ht="12.75">
      <c r="A1324" s="41" t="s">
        <v>26</v>
      </c>
      <c r="B1324" s="46"/>
      <c r="C1324" s="7"/>
      <c r="D1324" s="7"/>
      <c r="E1324" s="7">
        <f t="shared" si="34"/>
        <v>8106.5</v>
      </c>
      <c r="F1324" s="7"/>
      <c r="G1324" s="7">
        <v>957.5</v>
      </c>
      <c r="H1324" s="2"/>
      <c r="I1324" s="7"/>
      <c r="J1324" s="2"/>
      <c r="K1324" s="7">
        <v>7149</v>
      </c>
      <c r="L1324" s="2"/>
      <c r="M1324" s="7"/>
    </row>
    <row r="1325" spans="1:13" ht="12.75">
      <c r="A1325" s="41" t="s">
        <v>28</v>
      </c>
      <c r="B1325" s="46"/>
      <c r="C1325" s="7"/>
      <c r="D1325" s="7"/>
      <c r="E1325" s="7">
        <f t="shared" si="34"/>
        <v>2277</v>
      </c>
      <c r="F1325" s="7"/>
      <c r="G1325" s="7">
        <v>627</v>
      </c>
      <c r="H1325" s="2"/>
      <c r="I1325" s="7"/>
      <c r="J1325" s="2"/>
      <c r="K1325" s="7"/>
      <c r="L1325" s="2"/>
      <c r="M1325" s="7">
        <v>1650</v>
      </c>
    </row>
    <row r="1326" spans="1:13" ht="12.75">
      <c r="A1326" s="41" t="s">
        <v>291</v>
      </c>
      <c r="B1326" s="46"/>
      <c r="C1326" s="7"/>
      <c r="D1326" s="7"/>
      <c r="E1326" s="7"/>
      <c r="F1326" s="7"/>
      <c r="G1326" s="7"/>
      <c r="H1326" s="2"/>
      <c r="I1326" s="7"/>
      <c r="J1326" s="2"/>
      <c r="K1326" s="7">
        <v>675</v>
      </c>
      <c r="L1326" s="2"/>
      <c r="M1326" s="7"/>
    </row>
    <row r="1327" spans="1:13" ht="12.75">
      <c r="A1327" s="131" t="s">
        <v>317</v>
      </c>
      <c r="B1327" s="46"/>
      <c r="C1327" s="7"/>
      <c r="D1327" s="7"/>
      <c r="E1327" s="7"/>
      <c r="F1327" s="7"/>
      <c r="G1327" s="7"/>
      <c r="H1327" s="2"/>
      <c r="I1327" s="7"/>
      <c r="J1327" s="2"/>
      <c r="K1327" s="7">
        <v>14180</v>
      </c>
      <c r="L1327" s="2"/>
      <c r="M1327" s="7"/>
    </row>
    <row r="1328" spans="1:13" ht="12.75">
      <c r="A1328" s="41" t="s">
        <v>60</v>
      </c>
      <c r="B1328" s="46"/>
      <c r="C1328" s="7"/>
      <c r="D1328" s="7"/>
      <c r="E1328" s="7">
        <f t="shared" si="34"/>
        <v>0</v>
      </c>
      <c r="F1328" s="7"/>
      <c r="G1328" s="7"/>
      <c r="H1328" s="2"/>
      <c r="I1328" s="7"/>
      <c r="J1328" s="2"/>
      <c r="K1328" s="7"/>
      <c r="L1328" s="2"/>
      <c r="M1328" s="7"/>
    </row>
    <row r="1329" spans="1:13" ht="12.75">
      <c r="A1329" s="41" t="s">
        <v>229</v>
      </c>
      <c r="B1329" s="46"/>
      <c r="C1329" s="7"/>
      <c r="D1329" s="7"/>
      <c r="E1329" s="7">
        <f t="shared" si="34"/>
        <v>13302</v>
      </c>
      <c r="F1329" s="7"/>
      <c r="G1329" s="7"/>
      <c r="H1329" s="2" t="s">
        <v>237</v>
      </c>
      <c r="I1329" s="7">
        <v>13302</v>
      </c>
      <c r="J1329" s="2"/>
      <c r="K1329" s="7"/>
      <c r="L1329" s="2"/>
      <c r="M1329" s="7"/>
    </row>
    <row r="1330" spans="1:13" ht="12.75">
      <c r="A1330" s="41" t="s">
        <v>62</v>
      </c>
      <c r="B1330" s="46"/>
      <c r="C1330" s="7"/>
      <c r="D1330" s="7"/>
      <c r="E1330" s="7">
        <f t="shared" si="34"/>
        <v>0</v>
      </c>
      <c r="F1330" s="7"/>
      <c r="G1330" s="7"/>
      <c r="H1330" s="2"/>
      <c r="I1330" s="7"/>
      <c r="J1330" s="2"/>
      <c r="K1330" s="7"/>
      <c r="L1330" s="2"/>
      <c r="M1330" s="7"/>
    </row>
    <row r="1331" spans="1:13" ht="12.75">
      <c r="A1331" s="41" t="s">
        <v>63</v>
      </c>
      <c r="B1331" s="46"/>
      <c r="C1331" s="7"/>
      <c r="D1331" s="7"/>
      <c r="E1331" s="7">
        <f t="shared" si="34"/>
        <v>0</v>
      </c>
      <c r="F1331" s="7"/>
      <c r="G1331" s="7"/>
      <c r="H1331" s="2"/>
      <c r="I1331" s="7"/>
      <c r="J1331" s="2"/>
      <c r="K1331" s="7"/>
      <c r="L1331" s="2"/>
      <c r="M1331" s="7"/>
    </row>
    <row r="1332" spans="1:13" ht="12.75">
      <c r="A1332" s="41" t="s">
        <v>150</v>
      </c>
      <c r="B1332" s="46"/>
      <c r="C1332" s="7"/>
      <c r="D1332" s="7"/>
      <c r="E1332" s="7">
        <f t="shared" si="34"/>
        <v>880</v>
      </c>
      <c r="F1332" s="7"/>
      <c r="G1332" s="7"/>
      <c r="H1332" s="2"/>
      <c r="I1332" s="7">
        <v>520</v>
      </c>
      <c r="J1332" s="2"/>
      <c r="K1332" s="7">
        <v>360</v>
      </c>
      <c r="L1332" s="2"/>
      <c r="M1332" s="7"/>
    </row>
    <row r="1333" spans="1:13" ht="12.75">
      <c r="A1333" s="41" t="s">
        <v>51</v>
      </c>
      <c r="B1333" s="46"/>
      <c r="C1333" s="7"/>
      <c r="D1333" s="7"/>
      <c r="E1333" s="7">
        <f t="shared" si="34"/>
        <v>2548.6</v>
      </c>
      <c r="F1333" s="7"/>
      <c r="G1333" s="7"/>
      <c r="H1333" s="2"/>
      <c r="I1333" s="7">
        <v>2548.6</v>
      </c>
      <c r="J1333" s="2"/>
      <c r="K1333" s="7"/>
      <c r="L1333" s="2"/>
      <c r="M1333" s="7"/>
    </row>
    <row r="1334" spans="1:13" ht="12.75">
      <c r="A1334" s="58" t="s">
        <v>52</v>
      </c>
      <c r="B1334" s="46"/>
      <c r="C1334" s="7"/>
      <c r="D1334" s="7"/>
      <c r="E1334" s="7">
        <f t="shared" si="34"/>
        <v>0</v>
      </c>
      <c r="F1334" s="7"/>
      <c r="G1334" s="7"/>
      <c r="H1334" s="2"/>
      <c r="I1334" s="7"/>
      <c r="J1334" s="2"/>
      <c r="K1334" s="7"/>
      <c r="L1334" s="2"/>
      <c r="M1334" s="7"/>
    </row>
    <row r="1335" spans="1:13" ht="12.75">
      <c r="A1335" s="41" t="s">
        <v>80</v>
      </c>
      <c r="B1335" s="46"/>
      <c r="C1335" s="7"/>
      <c r="D1335" s="7"/>
      <c r="E1335" s="7">
        <f t="shared" si="34"/>
        <v>0</v>
      </c>
      <c r="F1335" s="7"/>
      <c r="G1335" s="7"/>
      <c r="H1335" s="2"/>
      <c r="I1335" s="7"/>
      <c r="J1335" s="2"/>
      <c r="K1335" s="7"/>
      <c r="L1335" s="2"/>
      <c r="M1335" s="7"/>
    </row>
    <row r="1336" spans="1:13" ht="12.75">
      <c r="A1336" s="41" t="s">
        <v>238</v>
      </c>
      <c r="B1336" s="46"/>
      <c r="C1336" s="7"/>
      <c r="D1336" s="7"/>
      <c r="E1336" s="7">
        <f t="shared" si="34"/>
        <v>1075</v>
      </c>
      <c r="F1336" s="7"/>
      <c r="G1336" s="7"/>
      <c r="H1336" s="2"/>
      <c r="I1336" s="7">
        <v>1075</v>
      </c>
      <c r="J1336" s="2"/>
      <c r="K1336" s="7"/>
      <c r="L1336" s="2"/>
      <c r="M1336" s="7"/>
    </row>
    <row r="1337" spans="1:13" ht="12.75">
      <c r="A1337" s="41" t="s">
        <v>57</v>
      </c>
      <c r="B1337" s="46"/>
      <c r="C1337" s="7"/>
      <c r="D1337" s="7"/>
      <c r="E1337" s="7">
        <f t="shared" si="34"/>
        <v>25.669695</v>
      </c>
      <c r="F1337" s="7"/>
      <c r="G1337" s="7"/>
      <c r="H1337" s="2"/>
      <c r="I1337" s="7">
        <f>0.0071*C1295</f>
        <v>25.669695</v>
      </c>
      <c r="J1337" s="2"/>
      <c r="K1337" s="7"/>
      <c r="L1337" s="2"/>
      <c r="M1337" s="7"/>
    </row>
    <row r="1338" spans="1:13" ht="12.75">
      <c r="A1338" s="41" t="s">
        <v>33</v>
      </c>
      <c r="B1338" s="46"/>
      <c r="C1338" s="7"/>
      <c r="D1338" s="7"/>
      <c r="E1338" s="7">
        <f t="shared" si="34"/>
        <v>3795.77</v>
      </c>
      <c r="F1338" s="15"/>
      <c r="G1338" s="7"/>
      <c r="H1338" s="2"/>
      <c r="I1338" s="7"/>
      <c r="J1338" s="2"/>
      <c r="K1338" s="7">
        <v>1871</v>
      </c>
      <c r="L1338" s="2"/>
      <c r="M1338" s="7">
        <v>1924.77</v>
      </c>
    </row>
    <row r="1339" spans="1:13" ht="12.75">
      <c r="A1339" s="41" t="s">
        <v>50</v>
      </c>
      <c r="B1339" s="46"/>
      <c r="C1339" s="7"/>
      <c r="D1339" s="7"/>
      <c r="E1339" s="7">
        <f t="shared" si="34"/>
        <v>3964.604697</v>
      </c>
      <c r="F1339" s="7"/>
      <c r="G1339" s="7">
        <f>0.2455*C1295</f>
        <v>887.5929749999999</v>
      </c>
      <c r="H1339" s="2"/>
      <c r="I1339" s="7">
        <f>0.5802*C1295</f>
        <v>2097.68409</v>
      </c>
      <c r="J1339" s="2"/>
      <c r="K1339" s="7">
        <f>0.1437*K1295</f>
        <v>519.872112</v>
      </c>
      <c r="L1339" s="2"/>
      <c r="M1339" s="7">
        <f>0.127*K1295</f>
        <v>459.45552000000004</v>
      </c>
    </row>
    <row r="1340" spans="1:13" ht="12.75">
      <c r="A1340" s="41" t="s">
        <v>54</v>
      </c>
      <c r="B1340" s="46"/>
      <c r="C1340" s="7"/>
      <c r="D1340" s="7"/>
      <c r="E1340" s="7">
        <f t="shared" si="34"/>
        <v>67.99587</v>
      </c>
      <c r="F1340" s="7"/>
      <c r="G1340" s="7"/>
      <c r="H1340" s="2"/>
      <c r="I1340" s="7">
        <f>0.0078*C1295</f>
        <v>28.200509999999998</v>
      </c>
      <c r="J1340" s="2"/>
      <c r="K1340" s="7">
        <f>0.011*K1295</f>
        <v>39.79536</v>
      </c>
      <c r="L1340" s="2"/>
      <c r="M1340" s="7"/>
    </row>
    <row r="1341" spans="1:13" ht="12.75">
      <c r="A1341" s="41" t="s">
        <v>144</v>
      </c>
      <c r="B1341" s="46"/>
      <c r="C1341" s="7"/>
      <c r="D1341" s="7"/>
      <c r="E1341" s="7">
        <f t="shared" si="34"/>
        <v>39513</v>
      </c>
      <c r="F1341" s="7"/>
      <c r="G1341" s="7">
        <v>39513</v>
      </c>
      <c r="H1341" s="2"/>
      <c r="I1341" s="7"/>
      <c r="J1341" s="2"/>
      <c r="K1341" s="7"/>
      <c r="L1341" s="2"/>
      <c r="M1341" s="7"/>
    </row>
    <row r="1342" spans="1:13" ht="12.75">
      <c r="A1342" s="41" t="s">
        <v>157</v>
      </c>
      <c r="B1342" s="46"/>
      <c r="C1342" s="7"/>
      <c r="D1342" s="7"/>
      <c r="E1342" s="7">
        <f t="shared" si="34"/>
        <v>580</v>
      </c>
      <c r="F1342" s="7"/>
      <c r="G1342" s="7">
        <v>580</v>
      </c>
      <c r="H1342" s="2"/>
      <c r="I1342" s="7"/>
      <c r="J1342" s="2"/>
      <c r="K1342" s="7"/>
      <c r="L1342" s="2"/>
      <c r="M1342" s="7"/>
    </row>
    <row r="1343" spans="1:13" ht="13.5" thickBot="1">
      <c r="A1343" s="48" t="s">
        <v>158</v>
      </c>
      <c r="B1343" s="49"/>
      <c r="C1343" s="50"/>
      <c r="D1343" s="50"/>
      <c r="E1343" s="50">
        <f t="shared" si="34"/>
        <v>1674</v>
      </c>
      <c r="F1343" s="50"/>
      <c r="G1343" s="50">
        <v>1674</v>
      </c>
      <c r="H1343" s="22"/>
      <c r="I1343" s="50"/>
      <c r="J1343" s="22"/>
      <c r="K1343" s="50"/>
      <c r="L1343" s="22"/>
      <c r="M1343" s="50"/>
    </row>
    <row r="1344" spans="1:13" ht="13.5" thickBot="1">
      <c r="A1344" s="59" t="s">
        <v>10</v>
      </c>
      <c r="B1344" s="81"/>
      <c r="C1344" s="63"/>
      <c r="D1344" s="63"/>
      <c r="E1344" s="63">
        <f t="shared" si="34"/>
        <v>227716.40358279998</v>
      </c>
      <c r="F1344" s="63"/>
      <c r="G1344" s="63">
        <f>SUM(G1319:G1343)</f>
        <v>88216.1770695</v>
      </c>
      <c r="H1344" s="26"/>
      <c r="I1344" s="63">
        <f>SUM(I1319:I1343)</f>
        <v>53664.097276500004</v>
      </c>
      <c r="J1344" s="26"/>
      <c r="K1344" s="63">
        <f>SUM(K1319:K1343)</f>
        <v>53485.318576</v>
      </c>
      <c r="L1344" s="26"/>
      <c r="M1344" s="29">
        <f>SUM(M1319:M1343)</f>
        <v>32350.8106608</v>
      </c>
    </row>
    <row r="1345" spans="1:13" ht="12.75">
      <c r="A1345" s="60" t="s">
        <v>42</v>
      </c>
      <c r="B1345" s="55"/>
      <c r="C1345" s="66"/>
      <c r="D1345" s="66"/>
      <c r="E1345" s="56">
        <f t="shared" si="34"/>
        <v>0</v>
      </c>
      <c r="F1345" s="66"/>
      <c r="G1345" s="56"/>
      <c r="H1345" s="74"/>
      <c r="I1345" s="56"/>
      <c r="J1345" s="74"/>
      <c r="K1345" s="56"/>
      <c r="L1345" s="74"/>
      <c r="M1345" s="56"/>
    </row>
    <row r="1346" spans="1:13" ht="12.75">
      <c r="A1346" s="41" t="s">
        <v>56</v>
      </c>
      <c r="B1346" s="46"/>
      <c r="C1346" s="7"/>
      <c r="D1346" s="7"/>
      <c r="E1346" s="7">
        <f t="shared" si="34"/>
        <v>0</v>
      </c>
      <c r="F1346" s="7"/>
      <c r="G1346" s="7"/>
      <c r="H1346" s="2"/>
      <c r="I1346" s="7"/>
      <c r="J1346" s="2"/>
      <c r="K1346" s="7"/>
      <c r="L1346" s="2"/>
      <c r="M1346" s="7"/>
    </row>
    <row r="1347" spans="1:13" ht="12.75">
      <c r="A1347" s="41" t="s">
        <v>323</v>
      </c>
      <c r="B1347" s="46"/>
      <c r="C1347" s="7"/>
      <c r="D1347" s="7"/>
      <c r="E1347" s="7">
        <f t="shared" si="34"/>
        <v>102.91</v>
      </c>
      <c r="F1347" s="7"/>
      <c r="G1347" s="7"/>
      <c r="H1347" s="2"/>
      <c r="I1347" s="7"/>
      <c r="J1347" s="2"/>
      <c r="K1347" s="7"/>
      <c r="L1347" s="2"/>
      <c r="M1347" s="7">
        <v>102.91</v>
      </c>
    </row>
    <row r="1348" spans="1:13" ht="12.75">
      <c r="A1348" s="41" t="s">
        <v>156</v>
      </c>
      <c r="B1348" s="46"/>
      <c r="C1348" s="7"/>
      <c r="D1348" s="7"/>
      <c r="E1348" s="7">
        <f t="shared" si="34"/>
        <v>821</v>
      </c>
      <c r="F1348" s="7"/>
      <c r="G1348" s="7">
        <v>125</v>
      </c>
      <c r="H1348" s="2"/>
      <c r="I1348" s="7">
        <v>696</v>
      </c>
      <c r="J1348" s="2"/>
      <c r="K1348" s="7"/>
      <c r="L1348" s="2"/>
      <c r="M1348" s="7"/>
    </row>
    <row r="1349" spans="1:13" ht="13.5" thickBot="1">
      <c r="A1349" s="48" t="s">
        <v>16</v>
      </c>
      <c r="B1349" s="49"/>
      <c r="C1349" s="50"/>
      <c r="D1349" s="50"/>
      <c r="E1349" s="50">
        <f t="shared" si="34"/>
        <v>129.133473</v>
      </c>
      <c r="F1349" s="50"/>
      <c r="G1349" s="50">
        <f>0.0089*C1295</f>
        <v>32.177505</v>
      </c>
      <c r="H1349" s="22"/>
      <c r="I1349" s="50"/>
      <c r="J1349" s="22"/>
      <c r="K1349" s="50"/>
      <c r="L1349" s="22"/>
      <c r="M1349" s="50">
        <f>0.0268*K1295</f>
        <v>96.95596800000001</v>
      </c>
    </row>
    <row r="1350" spans="1:13" ht="13.5" thickBot="1">
      <c r="A1350" s="62" t="s">
        <v>10</v>
      </c>
      <c r="B1350" s="81"/>
      <c r="C1350" s="63"/>
      <c r="D1350" s="63"/>
      <c r="E1350" s="63">
        <f t="shared" si="34"/>
        <v>1053.043473</v>
      </c>
      <c r="F1350" s="63"/>
      <c r="G1350" s="63">
        <f>SUM(G1348:G1349)</f>
        <v>157.177505</v>
      </c>
      <c r="H1350" s="26"/>
      <c r="I1350" s="63">
        <f>SUM(I1346:I1349)</f>
        <v>696</v>
      </c>
      <c r="J1350" s="26"/>
      <c r="K1350" s="63"/>
      <c r="L1350" s="26"/>
      <c r="M1350" s="29">
        <f>SUM(M1346:M1349)</f>
        <v>199.865968</v>
      </c>
    </row>
    <row r="1351" spans="1:13" ht="13.5" thickBot="1">
      <c r="A1351" s="64" t="s">
        <v>29</v>
      </c>
      <c r="B1351" s="81"/>
      <c r="C1351" s="63"/>
      <c r="D1351" s="63"/>
      <c r="E1351" s="63">
        <f t="shared" si="34"/>
        <v>8292.080535000001</v>
      </c>
      <c r="F1351" s="63"/>
      <c r="G1351" s="63">
        <f>0.4236*C1295</f>
        <v>1531.50462</v>
      </c>
      <c r="H1351" s="26"/>
      <c r="I1351" s="63">
        <f>0.5971*C1295</f>
        <v>2158.785195</v>
      </c>
      <c r="J1351" s="26"/>
      <c r="K1351" s="63"/>
      <c r="L1351" s="26"/>
      <c r="M1351" s="29">
        <f>1.272*K1295</f>
        <v>4601.79072</v>
      </c>
    </row>
    <row r="1352" spans="1:13" ht="21.75">
      <c r="A1352" s="65" t="s">
        <v>83</v>
      </c>
      <c r="B1352" s="61"/>
      <c r="C1352" s="56"/>
      <c r="D1352" s="56"/>
      <c r="E1352" s="56">
        <f t="shared" si="34"/>
        <v>504144.3528778</v>
      </c>
      <c r="F1352" s="56"/>
      <c r="G1352" s="56">
        <f>G1317+G1344+G1350+G1351</f>
        <v>155043.8898025</v>
      </c>
      <c r="H1352" s="74"/>
      <c r="I1352" s="56">
        <f>I1317+I1344+I1350+I1351</f>
        <v>129999.4285985</v>
      </c>
      <c r="J1352" s="74"/>
      <c r="K1352" s="56">
        <f>K1317+K1344+K1350+K1351</f>
        <v>119625.3713888</v>
      </c>
      <c r="L1352" s="74"/>
      <c r="M1352" s="56">
        <f>M1317+M1344+M1350+M1351</f>
        <v>99475.66308800002</v>
      </c>
    </row>
    <row r="1353" spans="1:13" ht="33.75">
      <c r="A1353" s="67" t="s">
        <v>84</v>
      </c>
      <c r="B1353" s="46"/>
      <c r="C1353" s="7"/>
      <c r="D1353" s="7"/>
      <c r="E1353" s="8">
        <f>E1352/12/C1295</f>
        <v>11.620138407800782</v>
      </c>
      <c r="F1353" s="7"/>
      <c r="G1353" s="8">
        <f>G1352/3/C1295</f>
        <v>14.294568200592826</v>
      </c>
      <c r="H1353" s="2"/>
      <c r="I1353" s="8">
        <f>I1352/3/C1295</f>
        <v>11.985546160551706</v>
      </c>
      <c r="J1353" s="2"/>
      <c r="K1353" s="8">
        <f>K1352/3/K1295</f>
        <v>11.02204784072649</v>
      </c>
      <c r="L1353" s="2"/>
      <c r="M1353" s="8">
        <f>M1352/3/K1295</f>
        <v>9.165493112496868</v>
      </c>
    </row>
    <row r="1354" spans="1:13" ht="12.75">
      <c r="A1354" s="69" t="s">
        <v>20</v>
      </c>
      <c r="B1354" s="44"/>
      <c r="C1354" s="45"/>
      <c r="D1354" s="45"/>
      <c r="E1354" s="7">
        <f>E1300-E1352</f>
        <v>-133228.52287780005</v>
      </c>
      <c r="F1354" s="45"/>
      <c r="G1354" s="7">
        <f>G1300-G1352</f>
        <v>-82188.36980249999</v>
      </c>
      <c r="H1354" s="2"/>
      <c r="I1354" s="7">
        <f>I1300-I1352-82188</f>
        <v>-111538.9785985</v>
      </c>
      <c r="J1354" s="2"/>
      <c r="K1354" s="7">
        <f>K1300-K1352-111539</f>
        <v>-138182.48138880002</v>
      </c>
      <c r="L1354" s="2"/>
      <c r="M1354" s="7">
        <f>M1300-M1352-138182</f>
        <v>-133227.693088</v>
      </c>
    </row>
    <row r="1355" spans="1:13" ht="12.75">
      <c r="A1355" s="14" t="s">
        <v>24</v>
      </c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</row>
    <row r="1356" spans="1:13" ht="12.75">
      <c r="A1356" s="14" t="s">
        <v>35</v>
      </c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</row>
    <row r="1357" spans="1:13" ht="12.75">
      <c r="A1357" s="14" t="s">
        <v>25</v>
      </c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</row>
    <row r="1358" spans="1:13" ht="12.7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</row>
    <row r="1359" spans="1:13" ht="12.7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</row>
    <row r="1360" spans="1:13" ht="12.7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</row>
    <row r="1361" spans="1:13" ht="12.7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</row>
    <row r="1362" spans="1:13" ht="12.7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</row>
    <row r="1363" spans="1:13" ht="12.7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</row>
    <row r="1364" spans="1:13" ht="12.7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</row>
    <row r="1365" spans="1:13" ht="12.7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</row>
    <row r="1366" spans="1:13" ht="12.7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</row>
    <row r="1367" spans="1:13" ht="12.7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</row>
    <row r="1368" spans="1:13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</row>
    <row r="1369" spans="1:13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</row>
    <row r="1370" spans="1:13" ht="11.25" customHeight="1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</row>
    <row r="1371" spans="1:13" ht="12.75" hidden="1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</row>
    <row r="1372" spans="1:13" ht="0.75" customHeight="1" hidden="1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</row>
    <row r="1373" spans="1:13" ht="12.75" hidden="1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</row>
    <row r="1374" spans="1:13" ht="12.75" hidden="1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</row>
    <row r="1375" spans="1:13" ht="12.75" hidden="1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</row>
    <row r="1376" spans="1:13" ht="12.75" hidden="1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</row>
    <row r="1377" spans="1:13" ht="12.75" hidden="1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</row>
    <row r="1378" spans="1:13" ht="12.75" hidden="1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</row>
    <row r="1379" spans="1:13" ht="12.75" hidden="1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</row>
    <row r="1380" spans="1:13" ht="12.75" hidden="1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</row>
    <row r="1381" spans="1:13" ht="12.75">
      <c r="A1381" s="31" t="s">
        <v>21</v>
      </c>
      <c r="B1381" s="31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</row>
    <row r="1382" spans="1:13" ht="12.75">
      <c r="A1382" s="14" t="s">
        <v>31</v>
      </c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</row>
    <row r="1383" spans="1:13" ht="12.75">
      <c r="A1383" s="14" t="s">
        <v>41</v>
      </c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</row>
    <row r="1384" spans="1:13" ht="12.75">
      <c r="A1384" s="14" t="s">
        <v>115</v>
      </c>
      <c r="B1384" s="14"/>
      <c r="C1384" s="14"/>
      <c r="D1384" s="14"/>
      <c r="E1384" s="14" t="s">
        <v>32</v>
      </c>
      <c r="F1384" s="14"/>
      <c r="G1384" s="14"/>
      <c r="H1384" s="14"/>
      <c r="I1384" s="14"/>
      <c r="J1384" s="14"/>
      <c r="K1384" s="14"/>
      <c r="L1384" s="14"/>
      <c r="M1384" s="14"/>
    </row>
    <row r="1385" spans="1:13" ht="23.25" customHeight="1">
      <c r="A1385" s="6" t="s">
        <v>0</v>
      </c>
      <c r="B1385" s="151" t="s">
        <v>38</v>
      </c>
      <c r="C1385" s="152"/>
      <c r="D1385" s="149" t="s">
        <v>39</v>
      </c>
      <c r="E1385" s="150"/>
      <c r="F1385" s="149" t="s">
        <v>96</v>
      </c>
      <c r="G1385" s="150"/>
      <c r="H1385" s="149" t="s">
        <v>97</v>
      </c>
      <c r="I1385" s="150"/>
      <c r="J1385" s="149" t="s">
        <v>98</v>
      </c>
      <c r="K1385" s="150"/>
      <c r="L1385" s="149" t="s">
        <v>99</v>
      </c>
      <c r="M1385" s="150"/>
    </row>
    <row r="1386" spans="1:13" ht="12.75">
      <c r="A1386" s="11" t="s">
        <v>5</v>
      </c>
      <c r="B1386" s="153"/>
      <c r="C1386" s="154"/>
      <c r="D1386" s="6" t="s">
        <v>40</v>
      </c>
      <c r="E1386" s="6" t="s">
        <v>22</v>
      </c>
      <c r="F1386" s="6" t="s">
        <v>40</v>
      </c>
      <c r="G1386" s="13" t="s">
        <v>22</v>
      </c>
      <c r="H1386" s="2"/>
      <c r="I1386" s="2"/>
      <c r="J1386" s="2"/>
      <c r="K1386" s="2"/>
      <c r="L1386" s="2"/>
      <c r="M1386" s="2"/>
    </row>
    <row r="1387" spans="1:13" ht="12.75">
      <c r="A1387" s="2" t="s">
        <v>1</v>
      </c>
      <c r="B1387" s="2"/>
      <c r="C1387" s="6">
        <v>5</v>
      </c>
      <c r="D1387" s="2"/>
      <c r="E1387" s="2"/>
      <c r="F1387" s="2"/>
      <c r="G1387" s="2"/>
      <c r="H1387" s="2"/>
      <c r="I1387" s="2"/>
      <c r="J1387" s="2"/>
      <c r="K1387" s="2"/>
      <c r="L1387" s="2"/>
      <c r="M1387" s="2"/>
    </row>
    <row r="1388" spans="1:13" ht="12.75">
      <c r="A1388" s="2" t="s">
        <v>2</v>
      </c>
      <c r="B1388" s="2"/>
      <c r="C1388" s="6">
        <v>6</v>
      </c>
      <c r="D1388" s="2"/>
      <c r="E1388" s="2"/>
      <c r="F1388" s="2"/>
      <c r="G1388" s="2"/>
      <c r="H1388" s="2"/>
      <c r="I1388" s="2"/>
      <c r="J1388" s="2"/>
      <c r="K1388" s="2"/>
      <c r="L1388" s="2"/>
      <c r="M1388" s="2"/>
    </row>
    <row r="1389" spans="1:13" ht="12.75">
      <c r="A1389" s="2" t="s">
        <v>3</v>
      </c>
      <c r="B1389" s="2"/>
      <c r="C1389" s="6">
        <v>60</v>
      </c>
      <c r="D1389" s="2"/>
      <c r="E1389" s="2"/>
      <c r="F1389" s="2"/>
      <c r="G1389" s="2"/>
      <c r="H1389" s="2"/>
      <c r="I1389" s="2"/>
      <c r="J1389" s="2"/>
      <c r="K1389" s="2"/>
      <c r="L1389" s="2"/>
      <c r="M1389" s="2"/>
    </row>
    <row r="1390" spans="1:13" ht="12.75">
      <c r="A1390" s="2" t="s">
        <v>4</v>
      </c>
      <c r="B1390" s="6"/>
      <c r="C1390" s="6">
        <v>3614.24</v>
      </c>
      <c r="D1390" s="6"/>
      <c r="E1390" s="6"/>
      <c r="F1390" s="6"/>
      <c r="G1390" s="2"/>
      <c r="H1390" s="2"/>
      <c r="I1390" s="2"/>
      <c r="J1390" s="2"/>
      <c r="K1390" s="2"/>
      <c r="L1390" s="2"/>
      <c r="M1390" s="2"/>
    </row>
    <row r="1391" spans="1:13" ht="21.75">
      <c r="A1391" s="35" t="s">
        <v>6</v>
      </c>
      <c r="B1391" s="11" t="s">
        <v>40</v>
      </c>
      <c r="C1391" s="2" t="s">
        <v>22</v>
      </c>
      <c r="D1391" s="2"/>
      <c r="E1391" s="2"/>
      <c r="F1391" s="2"/>
      <c r="G1391" s="2"/>
      <c r="H1391" s="2"/>
      <c r="I1391" s="2"/>
      <c r="J1391" s="2"/>
      <c r="K1391" s="2"/>
      <c r="L1391" s="2"/>
      <c r="M1391" s="2"/>
    </row>
    <row r="1392" spans="1:13" ht="22.5">
      <c r="A1392" s="40" t="s">
        <v>7</v>
      </c>
      <c r="B1392" s="3"/>
      <c r="C1392" s="6"/>
      <c r="D1392" s="6"/>
      <c r="E1392" s="6">
        <f>G1392+I1392+K1392+M1392</f>
        <v>279184.47</v>
      </c>
      <c r="F1392" s="2"/>
      <c r="G1392" s="2">
        <v>88582.23</v>
      </c>
      <c r="H1392" s="2"/>
      <c r="I1392" s="2">
        <v>106232.95</v>
      </c>
      <c r="J1392" s="2"/>
      <c r="K1392" s="2">
        <v>84369.29</v>
      </c>
      <c r="L1392" s="2"/>
      <c r="M1392" s="2"/>
    </row>
    <row r="1393" spans="1:13" ht="12.75">
      <c r="A1393" s="41" t="s">
        <v>8</v>
      </c>
      <c r="B1393" s="3"/>
      <c r="C1393" s="6"/>
      <c r="D1393" s="6"/>
      <c r="E1393" s="6"/>
      <c r="F1393" s="2"/>
      <c r="G1393" s="2"/>
      <c r="H1393" s="2"/>
      <c r="I1393" s="2"/>
      <c r="J1393" s="2"/>
      <c r="K1393" s="2"/>
      <c r="L1393" s="2"/>
      <c r="M1393" s="2"/>
    </row>
    <row r="1394" spans="1:13" ht="12.75">
      <c r="A1394" s="41" t="s">
        <v>9</v>
      </c>
      <c r="B1394" s="3"/>
      <c r="C1394" s="6"/>
      <c r="D1394" s="6"/>
      <c r="E1394" s="6"/>
      <c r="F1394" s="2"/>
      <c r="G1394" s="2"/>
      <c r="H1394" s="2"/>
      <c r="I1394" s="2"/>
      <c r="J1394" s="2"/>
      <c r="K1394" s="2"/>
      <c r="L1394" s="2"/>
      <c r="M1394" s="2"/>
    </row>
    <row r="1395" spans="1:13" ht="12.75">
      <c r="A1395" s="2" t="s">
        <v>10</v>
      </c>
      <c r="B1395" s="42"/>
      <c r="C1395" s="11"/>
      <c r="D1395" s="11"/>
      <c r="E1395" s="11">
        <f>SUM(E1392:E1394)</f>
        <v>279184.47</v>
      </c>
      <c r="F1395" s="37"/>
      <c r="G1395" s="2">
        <f>SUM(G1392:G1394)</f>
        <v>88582.23</v>
      </c>
      <c r="H1395" s="2"/>
      <c r="I1395" s="2">
        <f>SUM(I1392:I1394)</f>
        <v>106232.95</v>
      </c>
      <c r="J1395" s="2"/>
      <c r="K1395" s="2">
        <f>SUM(K1392:K1394)</f>
        <v>84369.29</v>
      </c>
      <c r="L1395" s="2"/>
      <c r="M1395" s="2"/>
    </row>
    <row r="1396" spans="1:13" ht="21.75">
      <c r="A1396" s="35" t="s">
        <v>82</v>
      </c>
      <c r="B1396" s="4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</row>
    <row r="1397" spans="1:13" ht="12.75">
      <c r="A1397" s="43" t="s">
        <v>11</v>
      </c>
      <c r="B1397" s="44"/>
      <c r="C1397" s="45"/>
      <c r="D1397" s="45"/>
      <c r="E1397" s="7">
        <f>G1397+I1397+K1397+M1397</f>
        <v>72335.04998346666</v>
      </c>
      <c r="F1397" s="45"/>
      <c r="G1397" s="7">
        <f>7.99407*C1390</f>
        <v>28892.4875568</v>
      </c>
      <c r="H1397" s="2"/>
      <c r="I1397" s="7">
        <f>9.57707*C1390</f>
        <v>34613.8294768</v>
      </c>
      <c r="J1397" s="2"/>
      <c r="K1397" s="7">
        <f>7.32829*C1390/3</f>
        <v>8828.732949866666</v>
      </c>
      <c r="L1397" s="2"/>
      <c r="M1397" s="2"/>
    </row>
    <row r="1398" spans="1:13" ht="12.75">
      <c r="A1398" s="43" t="s">
        <v>12</v>
      </c>
      <c r="B1398" s="46"/>
      <c r="C1398" s="7"/>
      <c r="D1398" s="7"/>
      <c r="E1398" s="7">
        <f aca="true" t="shared" si="35" ref="E1398:E1440">G1398+I1398+K1398+M1398</f>
        <v>0</v>
      </c>
      <c r="F1398" s="7"/>
      <c r="G1398" s="7"/>
      <c r="H1398" s="2"/>
      <c r="I1398" s="7"/>
      <c r="J1398" s="2"/>
      <c r="K1398" s="7"/>
      <c r="L1398" s="2"/>
      <c r="M1398" s="2"/>
    </row>
    <row r="1399" spans="1:13" ht="12.75">
      <c r="A1399" s="41" t="s">
        <v>13</v>
      </c>
      <c r="B1399" s="46"/>
      <c r="C1399" s="7"/>
      <c r="D1399" s="7"/>
      <c r="E1399" s="7">
        <f t="shared" si="35"/>
        <v>93226.76079093335</v>
      </c>
      <c r="F1399" s="7"/>
      <c r="G1399" s="7">
        <f>G1400+G1402+G1403+G1404+G1405+G1406+G1407+G1408+G1409+G1410+G1411</f>
        <v>34432.5627408</v>
      </c>
      <c r="H1399" s="2"/>
      <c r="I1399" s="7">
        <f>I1400+I1402+I1403+I1404+I1405+I1406+I1407+I1408+I1409+I1410+I1411</f>
        <v>35333.9336176</v>
      </c>
      <c r="J1399" s="2"/>
      <c r="K1399" s="7">
        <f>K1400+K1402+K1403+K1404+K1405+K1406+K1407+K1408+K1409+K1410+K1411</f>
        <v>23460.264432533335</v>
      </c>
      <c r="L1399" s="2"/>
      <c r="M1399" s="2"/>
    </row>
    <row r="1400" spans="1:13" ht="12.75">
      <c r="A1400" s="47" t="s">
        <v>14</v>
      </c>
      <c r="B1400" s="46"/>
      <c r="C1400" s="71"/>
      <c r="D1400" s="7"/>
      <c r="E1400" s="7">
        <f t="shared" si="35"/>
        <v>81646</v>
      </c>
      <c r="F1400" s="7"/>
      <c r="G1400" s="7">
        <v>31781</v>
      </c>
      <c r="H1400" s="2"/>
      <c r="I1400" s="7">
        <v>30712</v>
      </c>
      <c r="J1400" s="2"/>
      <c r="K1400" s="7">
        <v>19153</v>
      </c>
      <c r="L1400" s="2"/>
      <c r="M1400" s="2"/>
    </row>
    <row r="1401" spans="1:13" ht="12.75">
      <c r="A1401" s="41" t="s">
        <v>19</v>
      </c>
      <c r="B1401" s="46"/>
      <c r="C1401" s="71"/>
      <c r="D1401" s="7"/>
      <c r="E1401" s="7">
        <f t="shared" si="35"/>
        <v>46030.1</v>
      </c>
      <c r="F1401" s="7"/>
      <c r="G1401" s="7">
        <v>19730.1</v>
      </c>
      <c r="H1401" s="2"/>
      <c r="I1401" s="7">
        <v>19730</v>
      </c>
      <c r="J1401" s="2"/>
      <c r="K1401" s="7">
        <v>6570</v>
      </c>
      <c r="L1401" s="2"/>
      <c r="M1401" s="2"/>
    </row>
    <row r="1402" spans="1:13" ht="12.75">
      <c r="A1402" s="41" t="s">
        <v>18</v>
      </c>
      <c r="B1402" s="46"/>
      <c r="C1402" s="7"/>
      <c r="D1402" s="7"/>
      <c r="E1402" s="7">
        <f t="shared" si="35"/>
        <v>629.9</v>
      </c>
      <c r="F1402" s="7"/>
      <c r="G1402" s="7">
        <v>210.06</v>
      </c>
      <c r="H1402" s="2"/>
      <c r="I1402" s="7">
        <v>295.64</v>
      </c>
      <c r="J1402" s="2"/>
      <c r="K1402" s="7">
        <v>124.2</v>
      </c>
      <c r="L1402" s="2"/>
      <c r="M1402" s="2"/>
    </row>
    <row r="1403" spans="1:13" ht="12.75">
      <c r="A1403" s="41" t="s">
        <v>53</v>
      </c>
      <c r="B1403" s="46"/>
      <c r="C1403" s="7"/>
      <c r="D1403" s="7"/>
      <c r="E1403" s="7">
        <f t="shared" si="35"/>
        <v>4630.046246933333</v>
      </c>
      <c r="F1403" s="7"/>
      <c r="G1403" s="7">
        <f>0.54857*C1390</f>
        <v>1982.6636368</v>
      </c>
      <c r="H1403" s="2"/>
      <c r="I1403" s="7">
        <f>0.53049*C1390</f>
        <v>1917.3181776</v>
      </c>
      <c r="J1403" s="2"/>
      <c r="K1403" s="7">
        <f>0.60599*C1390/3</f>
        <v>730.0644325333333</v>
      </c>
      <c r="L1403" s="2"/>
      <c r="M1403" s="2"/>
    </row>
    <row r="1404" spans="1:13" ht="12.75">
      <c r="A1404" s="41" t="s">
        <v>148</v>
      </c>
      <c r="B1404" s="46"/>
      <c r="C1404" s="7"/>
      <c r="D1404" s="7"/>
      <c r="E1404" s="7">
        <f t="shared" si="35"/>
        <v>388</v>
      </c>
      <c r="F1404" s="7"/>
      <c r="G1404" s="7">
        <v>388</v>
      </c>
      <c r="H1404" s="2"/>
      <c r="I1404" s="7"/>
      <c r="J1404" s="2"/>
      <c r="K1404" s="7"/>
      <c r="L1404" s="2"/>
      <c r="M1404" s="2"/>
    </row>
    <row r="1405" spans="1:13" ht="12.75">
      <c r="A1405" s="41" t="s">
        <v>27</v>
      </c>
      <c r="B1405" s="46"/>
      <c r="C1405" s="7"/>
      <c r="D1405" s="7"/>
      <c r="E1405" s="7">
        <f t="shared" si="35"/>
        <v>771</v>
      </c>
      <c r="F1405" s="7"/>
      <c r="G1405" s="7"/>
      <c r="H1405" s="2"/>
      <c r="I1405" s="7">
        <v>771</v>
      </c>
      <c r="J1405" s="2"/>
      <c r="K1405" s="7"/>
      <c r="L1405" s="2"/>
      <c r="M1405" s="2"/>
    </row>
    <row r="1406" spans="1:13" ht="12.75">
      <c r="A1406" s="41" t="s">
        <v>36</v>
      </c>
      <c r="B1406" s="46"/>
      <c r="C1406" s="7"/>
      <c r="D1406" s="7"/>
      <c r="E1406" s="7">
        <f t="shared" si="35"/>
        <v>3453</v>
      </c>
      <c r="F1406" s="7"/>
      <c r="G1406" s="7"/>
      <c r="H1406" s="2"/>
      <c r="I1406" s="7"/>
      <c r="J1406" s="2" t="s">
        <v>318</v>
      </c>
      <c r="K1406" s="7">
        <v>3453</v>
      </c>
      <c r="L1406" s="2"/>
      <c r="M1406" s="2"/>
    </row>
    <row r="1407" spans="1:13" ht="12.75">
      <c r="A1407" s="41" t="s">
        <v>239</v>
      </c>
      <c r="B1407" s="46"/>
      <c r="C1407" s="7"/>
      <c r="D1407" s="7"/>
      <c r="E1407" s="7">
        <f t="shared" si="35"/>
        <v>1390.4</v>
      </c>
      <c r="F1407" s="7"/>
      <c r="G1407" s="7"/>
      <c r="H1407" s="2"/>
      <c r="I1407" s="7">
        <v>1390.4</v>
      </c>
      <c r="J1407" s="2"/>
      <c r="K1407" s="7"/>
      <c r="L1407" s="2"/>
      <c r="M1407" s="2"/>
    </row>
    <row r="1408" spans="1:13" ht="12.75">
      <c r="A1408" s="41" t="s">
        <v>43</v>
      </c>
      <c r="B1408" s="46"/>
      <c r="C1408" s="7"/>
      <c r="D1408" s="7"/>
      <c r="E1408" s="7">
        <f t="shared" si="35"/>
        <v>0</v>
      </c>
      <c r="F1408" s="7"/>
      <c r="G1408" s="7"/>
      <c r="H1408" s="2"/>
      <c r="I1408" s="7"/>
      <c r="J1408" s="2"/>
      <c r="K1408" s="7"/>
      <c r="L1408" s="2"/>
      <c r="M1408" s="2"/>
    </row>
    <row r="1409" spans="1:13" ht="12.75">
      <c r="A1409" s="41" t="s">
        <v>30</v>
      </c>
      <c r="B1409" s="46"/>
      <c r="C1409" s="7"/>
      <c r="D1409" s="7"/>
      <c r="E1409" s="7">
        <f t="shared" si="35"/>
        <v>0</v>
      </c>
      <c r="F1409" s="7"/>
      <c r="G1409" s="7"/>
      <c r="H1409" s="2"/>
      <c r="I1409" s="7"/>
      <c r="J1409" s="2"/>
      <c r="K1409" s="7"/>
      <c r="L1409" s="2"/>
      <c r="M1409" s="2"/>
    </row>
    <row r="1410" spans="1:13" ht="12.75">
      <c r="A1410" s="41" t="s">
        <v>54</v>
      </c>
      <c r="B1410" s="46"/>
      <c r="C1410" s="7"/>
      <c r="D1410" s="7"/>
      <c r="E1410" s="7">
        <f t="shared" si="35"/>
        <v>70.83910399999999</v>
      </c>
      <c r="F1410" s="7"/>
      <c r="G1410" s="7">
        <f>0.0196*C1390</f>
        <v>70.83910399999999</v>
      </c>
      <c r="H1410" s="2"/>
      <c r="I1410" s="7"/>
      <c r="J1410" s="2"/>
      <c r="K1410" s="7"/>
      <c r="L1410" s="2"/>
      <c r="M1410" s="2"/>
    </row>
    <row r="1411" spans="1:13" ht="13.5" thickBot="1">
      <c r="A1411" s="48" t="s">
        <v>55</v>
      </c>
      <c r="B1411" s="49"/>
      <c r="C1411" s="50"/>
      <c r="D1411" s="50"/>
      <c r="E1411" s="50">
        <f t="shared" si="35"/>
        <v>247.57544000000001</v>
      </c>
      <c r="F1411" s="50"/>
      <c r="G1411" s="50"/>
      <c r="H1411" s="22"/>
      <c r="I1411" s="50">
        <f>0.0685*C1390</f>
        <v>247.57544000000001</v>
      </c>
      <c r="J1411" s="22"/>
      <c r="K1411" s="50"/>
      <c r="L1411" s="22"/>
      <c r="M1411" s="22"/>
    </row>
    <row r="1412" spans="1:13" ht="13.5" thickBot="1">
      <c r="A1412" s="51" t="s">
        <v>76</v>
      </c>
      <c r="B1412" s="81"/>
      <c r="C1412" s="63"/>
      <c r="D1412" s="63"/>
      <c r="E1412" s="63">
        <f t="shared" si="35"/>
        <v>165561.8107744</v>
      </c>
      <c r="F1412" s="63"/>
      <c r="G1412" s="63">
        <f>G1397+G1399</f>
        <v>63325.0502976</v>
      </c>
      <c r="H1412" s="26"/>
      <c r="I1412" s="63">
        <f>I1397+I1399</f>
        <v>69947.7630944</v>
      </c>
      <c r="J1412" s="26"/>
      <c r="K1412" s="63">
        <f>K1397+K1399</f>
        <v>32288.9973824</v>
      </c>
      <c r="L1412" s="26"/>
      <c r="M1412" s="84"/>
    </row>
    <row r="1413" spans="1:13" ht="12" customHeight="1">
      <c r="A1413" s="54" t="s">
        <v>15</v>
      </c>
      <c r="B1413" s="55"/>
      <c r="C1413" s="66"/>
      <c r="D1413" s="66"/>
      <c r="E1413" s="56">
        <f t="shared" si="35"/>
        <v>0</v>
      </c>
      <c r="F1413" s="66"/>
      <c r="G1413" s="56"/>
      <c r="H1413" s="74"/>
      <c r="I1413" s="56"/>
      <c r="J1413" s="74"/>
      <c r="K1413" s="56"/>
      <c r="L1413" s="74"/>
      <c r="M1413" s="10"/>
    </row>
    <row r="1414" spans="1:13" ht="12.75">
      <c r="A1414" s="41" t="s">
        <v>17</v>
      </c>
      <c r="B1414" s="46"/>
      <c r="C1414" s="7"/>
      <c r="D1414" s="7"/>
      <c r="E1414" s="7">
        <f t="shared" si="35"/>
        <v>58479.89708586666</v>
      </c>
      <c r="F1414" s="7"/>
      <c r="G1414" s="7">
        <f>6.73321*C1390</f>
        <v>24335.436910399996</v>
      </c>
      <c r="H1414" s="2"/>
      <c r="I1414" s="7">
        <f>7.02207*C1390</f>
        <v>25379.446276799998</v>
      </c>
      <c r="J1414" s="2"/>
      <c r="K1414" s="7">
        <f>7.2754*C1390/3</f>
        <v>8765.013898666666</v>
      </c>
      <c r="L1414" s="2"/>
      <c r="M1414" s="6"/>
    </row>
    <row r="1415" spans="1:13" ht="12.75">
      <c r="A1415" s="41" t="s">
        <v>34</v>
      </c>
      <c r="B1415" s="46"/>
      <c r="C1415" s="71"/>
      <c r="D1415" s="7"/>
      <c r="E1415" s="7">
        <f t="shared" si="35"/>
        <v>0</v>
      </c>
      <c r="F1415" s="7"/>
      <c r="G1415" s="7"/>
      <c r="H1415" s="2"/>
      <c r="I1415" s="7"/>
      <c r="J1415" s="2"/>
      <c r="K1415" s="7"/>
      <c r="L1415" s="2"/>
      <c r="M1415" s="6"/>
    </row>
    <row r="1416" spans="1:13" ht="12.75">
      <c r="A1416" s="41" t="s">
        <v>67</v>
      </c>
      <c r="B1416" s="46"/>
      <c r="C1416" s="7"/>
      <c r="D1416" s="7"/>
      <c r="E1416" s="7">
        <f t="shared" si="35"/>
        <v>5201</v>
      </c>
      <c r="F1416" s="7"/>
      <c r="G1416" s="7">
        <v>2230</v>
      </c>
      <c r="H1416" s="2"/>
      <c r="I1416" s="7">
        <v>2971</v>
      </c>
      <c r="J1416" s="2"/>
      <c r="K1416" s="7"/>
      <c r="L1416" s="2"/>
      <c r="M1416" s="6"/>
    </row>
    <row r="1417" spans="1:13" ht="12.75">
      <c r="A1417" s="41" t="s">
        <v>68</v>
      </c>
      <c r="B1417" s="46"/>
      <c r="C1417" s="7"/>
      <c r="D1417" s="7"/>
      <c r="E1417" s="7">
        <f t="shared" si="35"/>
        <v>0</v>
      </c>
      <c r="F1417" s="7"/>
      <c r="G1417" s="7"/>
      <c r="H1417" s="2"/>
      <c r="I1417" s="7"/>
      <c r="J1417" s="2"/>
      <c r="K1417" s="7"/>
      <c r="L1417" s="2"/>
      <c r="M1417" s="6"/>
    </row>
    <row r="1418" spans="1:13" ht="12.75">
      <c r="A1418" s="41" t="s">
        <v>69</v>
      </c>
      <c r="B1418" s="46"/>
      <c r="C1418" s="7"/>
      <c r="D1418" s="7"/>
      <c r="E1418" s="7">
        <f t="shared" si="35"/>
        <v>140</v>
      </c>
      <c r="F1418" s="7"/>
      <c r="G1418" s="7"/>
      <c r="H1418" s="2"/>
      <c r="I1418" s="7">
        <v>140</v>
      </c>
      <c r="J1418" s="2"/>
      <c r="K1418" s="7"/>
      <c r="L1418" s="2"/>
      <c r="M1418" s="6"/>
    </row>
    <row r="1419" spans="1:13" ht="12.75">
      <c r="A1419" s="41" t="s">
        <v>26</v>
      </c>
      <c r="B1419" s="46"/>
      <c r="C1419" s="7"/>
      <c r="D1419" s="7"/>
      <c r="E1419" s="7">
        <f t="shared" si="35"/>
        <v>5341.5</v>
      </c>
      <c r="F1419" s="7"/>
      <c r="G1419" s="7"/>
      <c r="H1419" s="2"/>
      <c r="I1419" s="7">
        <v>5341.5</v>
      </c>
      <c r="J1419" s="2"/>
      <c r="K1419" s="7"/>
      <c r="L1419" s="2"/>
      <c r="M1419" s="6"/>
    </row>
    <row r="1420" spans="1:13" ht="12.75">
      <c r="A1420" s="41" t="s">
        <v>28</v>
      </c>
      <c r="B1420" s="46"/>
      <c r="C1420" s="7"/>
      <c r="D1420" s="7"/>
      <c r="E1420" s="7">
        <f t="shared" si="35"/>
        <v>12312</v>
      </c>
      <c r="F1420" s="7"/>
      <c r="G1420" s="7"/>
      <c r="H1420" s="2"/>
      <c r="I1420" s="7">
        <v>12312</v>
      </c>
      <c r="J1420" s="2"/>
      <c r="K1420" s="7"/>
      <c r="L1420" s="2"/>
      <c r="M1420" s="6"/>
    </row>
    <row r="1421" spans="1:13" ht="12.75">
      <c r="A1421" s="41" t="s">
        <v>60</v>
      </c>
      <c r="B1421" s="46"/>
      <c r="C1421" s="7"/>
      <c r="D1421" s="7"/>
      <c r="E1421" s="7">
        <f t="shared" si="35"/>
        <v>0</v>
      </c>
      <c r="F1421" s="7"/>
      <c r="G1421" s="7"/>
      <c r="H1421" s="2"/>
      <c r="I1421" s="7"/>
      <c r="J1421" s="2"/>
      <c r="K1421" s="7"/>
      <c r="L1421" s="2"/>
      <c r="M1421" s="6"/>
    </row>
    <row r="1422" spans="1:13" ht="12.75">
      <c r="A1422" s="41" t="s">
        <v>75</v>
      </c>
      <c r="B1422" s="46"/>
      <c r="C1422" s="7"/>
      <c r="D1422" s="7"/>
      <c r="E1422" s="7">
        <f t="shared" si="35"/>
        <v>0</v>
      </c>
      <c r="F1422" s="7"/>
      <c r="G1422" s="7"/>
      <c r="H1422" s="2"/>
      <c r="I1422" s="7"/>
      <c r="J1422" s="2"/>
      <c r="K1422" s="7"/>
      <c r="L1422" s="2"/>
      <c r="M1422" s="6"/>
    </row>
    <row r="1423" spans="1:13" ht="12.75">
      <c r="A1423" s="41" t="s">
        <v>62</v>
      </c>
      <c r="B1423" s="46"/>
      <c r="C1423" s="7"/>
      <c r="D1423" s="7"/>
      <c r="E1423" s="7">
        <f t="shared" si="35"/>
        <v>0</v>
      </c>
      <c r="F1423" s="7"/>
      <c r="G1423" s="7"/>
      <c r="H1423" s="2"/>
      <c r="I1423" s="7"/>
      <c r="J1423" s="2"/>
      <c r="K1423" s="7"/>
      <c r="L1423" s="2"/>
      <c r="M1423" s="6"/>
    </row>
    <row r="1424" spans="1:13" ht="12.75">
      <c r="A1424" s="41" t="s">
        <v>433</v>
      </c>
      <c r="B1424" s="46"/>
      <c r="C1424" s="7"/>
      <c r="D1424" s="7"/>
      <c r="E1424" s="7">
        <f t="shared" si="35"/>
        <v>5534.01</v>
      </c>
      <c r="F1424" s="7"/>
      <c r="G1424" s="7"/>
      <c r="H1424" s="2"/>
      <c r="I1424" s="7"/>
      <c r="J1424" s="2"/>
      <c r="K1424" s="7"/>
      <c r="L1424" s="2"/>
      <c r="M1424" s="6">
        <v>5534.01</v>
      </c>
    </row>
    <row r="1425" spans="1:13" ht="12.75">
      <c r="A1425" s="41" t="s">
        <v>66</v>
      </c>
      <c r="B1425" s="46"/>
      <c r="C1425" s="7"/>
      <c r="D1425" s="7"/>
      <c r="E1425" s="7">
        <f t="shared" si="35"/>
        <v>0</v>
      </c>
      <c r="F1425" s="7"/>
      <c r="G1425" s="7"/>
      <c r="H1425" s="2"/>
      <c r="I1425" s="7"/>
      <c r="J1425" s="2"/>
      <c r="K1425" s="7"/>
      <c r="L1425" s="2"/>
      <c r="M1425" s="6"/>
    </row>
    <row r="1426" spans="1:13" ht="12.75">
      <c r="A1426" s="41" t="s">
        <v>51</v>
      </c>
      <c r="B1426" s="46"/>
      <c r="C1426" s="7"/>
      <c r="D1426" s="7"/>
      <c r="E1426" s="7">
        <f t="shared" si="35"/>
        <v>2509.49</v>
      </c>
      <c r="F1426" s="7"/>
      <c r="G1426" s="7"/>
      <c r="H1426" s="2"/>
      <c r="I1426" s="7">
        <v>2509.49</v>
      </c>
      <c r="J1426" s="2"/>
      <c r="K1426" s="7"/>
      <c r="L1426" s="2"/>
      <c r="M1426" s="6"/>
    </row>
    <row r="1427" spans="1:13" ht="12.75">
      <c r="A1427" s="58" t="s">
        <v>52</v>
      </c>
      <c r="B1427" s="46"/>
      <c r="C1427" s="7"/>
      <c r="D1427" s="7"/>
      <c r="E1427" s="7">
        <f t="shared" si="35"/>
        <v>0</v>
      </c>
      <c r="F1427" s="7"/>
      <c r="G1427" s="7"/>
      <c r="H1427" s="2"/>
      <c r="I1427" s="7"/>
      <c r="J1427" s="2"/>
      <c r="K1427" s="7"/>
      <c r="L1427" s="2"/>
      <c r="M1427" s="6"/>
    </row>
    <row r="1428" spans="1:13" ht="12.75">
      <c r="A1428" s="41" t="s">
        <v>80</v>
      </c>
      <c r="B1428" s="46"/>
      <c r="C1428" s="7"/>
      <c r="D1428" s="7"/>
      <c r="E1428" s="7">
        <f t="shared" si="35"/>
        <v>0</v>
      </c>
      <c r="F1428" s="7"/>
      <c r="G1428" s="7"/>
      <c r="H1428" s="2"/>
      <c r="I1428" s="7"/>
      <c r="J1428" s="2"/>
      <c r="K1428" s="7"/>
      <c r="L1428" s="2"/>
      <c r="M1428" s="6"/>
    </row>
    <row r="1429" spans="1:13" ht="12.75">
      <c r="A1429" s="41" t="s">
        <v>65</v>
      </c>
      <c r="B1429" s="46"/>
      <c r="C1429" s="7"/>
      <c r="D1429" s="7"/>
      <c r="E1429" s="7">
        <f t="shared" si="35"/>
        <v>0</v>
      </c>
      <c r="F1429" s="7"/>
      <c r="G1429" s="7"/>
      <c r="H1429" s="2"/>
      <c r="I1429" s="7"/>
      <c r="J1429" s="2"/>
      <c r="K1429" s="7"/>
      <c r="L1429" s="2"/>
      <c r="M1429" s="6"/>
    </row>
    <row r="1430" spans="1:13" ht="12.75">
      <c r="A1430" s="41" t="s">
        <v>57</v>
      </c>
      <c r="B1430" s="46"/>
      <c r="C1430" s="7"/>
      <c r="D1430" s="7"/>
      <c r="E1430" s="7">
        <f t="shared" si="35"/>
        <v>25.661104</v>
      </c>
      <c r="F1430" s="7"/>
      <c r="G1430" s="7"/>
      <c r="H1430" s="2"/>
      <c r="I1430" s="7">
        <f>0.0071*C1390</f>
        <v>25.661104</v>
      </c>
      <c r="J1430" s="2"/>
      <c r="K1430" s="7"/>
      <c r="L1430" s="2"/>
      <c r="M1430" s="6"/>
    </row>
    <row r="1431" spans="1:13" ht="12.75">
      <c r="A1431" s="41" t="s">
        <v>33</v>
      </c>
      <c r="B1431" s="46"/>
      <c r="C1431" s="7"/>
      <c r="D1431" s="7"/>
      <c r="E1431" s="7">
        <f t="shared" si="35"/>
        <v>1871</v>
      </c>
      <c r="F1431" s="15"/>
      <c r="G1431" s="7"/>
      <c r="H1431" s="2"/>
      <c r="I1431" s="7"/>
      <c r="J1431" s="2"/>
      <c r="K1431" s="7">
        <v>1871</v>
      </c>
      <c r="L1431" s="2"/>
      <c r="M1431" s="6"/>
    </row>
    <row r="1432" spans="1:13" ht="12.75">
      <c r="A1432" s="41" t="s">
        <v>50</v>
      </c>
      <c r="B1432" s="46"/>
      <c r="C1432" s="7"/>
      <c r="D1432" s="7"/>
      <c r="E1432" s="7">
        <f t="shared" si="35"/>
        <v>2984.277968</v>
      </c>
      <c r="F1432" s="7"/>
      <c r="G1432" s="7">
        <f>0.2455*C1390</f>
        <v>887.2959199999999</v>
      </c>
      <c r="H1432" s="2"/>
      <c r="I1432" s="7">
        <f>0.5802*C1390</f>
        <v>2096.982048</v>
      </c>
      <c r="J1432" s="2"/>
      <c r="K1432" s="7"/>
      <c r="L1432" s="2"/>
      <c r="M1432" s="6"/>
    </row>
    <row r="1433" spans="1:13" ht="13.5" thickBot="1">
      <c r="A1433" s="48" t="s">
        <v>54</v>
      </c>
      <c r="B1433" s="49"/>
      <c r="C1433" s="50"/>
      <c r="D1433" s="50"/>
      <c r="E1433" s="50">
        <f t="shared" si="35"/>
        <v>28.191072</v>
      </c>
      <c r="F1433" s="50"/>
      <c r="G1433" s="50"/>
      <c r="H1433" s="22"/>
      <c r="I1433" s="50">
        <f>0.0078*C1390</f>
        <v>28.191072</v>
      </c>
      <c r="J1433" s="22"/>
      <c r="K1433" s="50"/>
      <c r="L1433" s="22"/>
      <c r="M1433" s="12"/>
    </row>
    <row r="1434" spans="1:13" ht="13.5" thickBot="1">
      <c r="A1434" s="59" t="s">
        <v>10</v>
      </c>
      <c r="B1434" s="81"/>
      <c r="C1434" s="63"/>
      <c r="D1434" s="63"/>
      <c r="E1434" s="63">
        <f t="shared" si="35"/>
        <v>94427.02722986665</v>
      </c>
      <c r="F1434" s="63"/>
      <c r="G1434" s="63">
        <f>SUM(G1414:G1433)</f>
        <v>27452.732830399997</v>
      </c>
      <c r="H1434" s="26"/>
      <c r="I1434" s="63">
        <f>SUM(I1414:I1433)</f>
        <v>50804.27050079999</v>
      </c>
      <c r="J1434" s="26"/>
      <c r="K1434" s="63">
        <f>SUM(K1414:K1433)</f>
        <v>10636.013898666666</v>
      </c>
      <c r="L1434" s="26"/>
      <c r="M1434" s="133">
        <f>SUM(M1414:M1433)</f>
        <v>5534.01</v>
      </c>
    </row>
    <row r="1435" spans="1:13" ht="12.75">
      <c r="A1435" s="60" t="s">
        <v>42</v>
      </c>
      <c r="B1435" s="55"/>
      <c r="C1435" s="66"/>
      <c r="D1435" s="66"/>
      <c r="E1435" s="56"/>
      <c r="F1435" s="66"/>
      <c r="G1435" s="56"/>
      <c r="H1435" s="74"/>
      <c r="I1435" s="56"/>
      <c r="J1435" s="74"/>
      <c r="K1435" s="56"/>
      <c r="L1435" s="74"/>
      <c r="M1435" s="10"/>
    </row>
    <row r="1436" spans="1:13" ht="12.75">
      <c r="A1436" s="41" t="s">
        <v>56</v>
      </c>
      <c r="B1436" s="46"/>
      <c r="C1436" s="7"/>
      <c r="D1436" s="7"/>
      <c r="E1436" s="7">
        <f>G1436+I1436+K1436+M1436</f>
        <v>0</v>
      </c>
      <c r="F1436" s="7"/>
      <c r="G1436" s="7"/>
      <c r="H1436" s="2"/>
      <c r="I1436" s="7"/>
      <c r="J1436" s="2"/>
      <c r="K1436" s="7"/>
      <c r="L1436" s="2"/>
      <c r="M1436" s="6"/>
    </row>
    <row r="1437" spans="1:13" ht="12.75">
      <c r="A1437" s="41" t="s">
        <v>156</v>
      </c>
      <c r="B1437" s="49"/>
      <c r="C1437" s="50"/>
      <c r="D1437" s="50"/>
      <c r="E1437" s="7">
        <f>G1437+I1437+K1437+M1437</f>
        <v>150</v>
      </c>
      <c r="F1437" s="50"/>
      <c r="G1437" s="50"/>
      <c r="H1437" s="22"/>
      <c r="I1437" s="50">
        <v>150</v>
      </c>
      <c r="J1437" s="22"/>
      <c r="K1437" s="50"/>
      <c r="L1437" s="22"/>
      <c r="M1437" s="12"/>
    </row>
    <row r="1438" spans="1:13" ht="13.5" thickBot="1">
      <c r="A1438" s="48" t="s">
        <v>16</v>
      </c>
      <c r="B1438" s="49"/>
      <c r="C1438" s="50"/>
      <c r="D1438" s="50"/>
      <c r="E1438" s="7">
        <f>G1438+I1438+K1438+M1438</f>
        <v>32.166736</v>
      </c>
      <c r="F1438" s="50"/>
      <c r="G1438" s="50">
        <f>0.0089*C1390</f>
        <v>32.166736</v>
      </c>
      <c r="H1438" s="22"/>
      <c r="I1438" s="50"/>
      <c r="J1438" s="22"/>
      <c r="K1438" s="50"/>
      <c r="L1438" s="22"/>
      <c r="M1438" s="12"/>
    </row>
    <row r="1439" spans="1:13" ht="13.5" thickBot="1">
      <c r="A1439" s="62" t="s">
        <v>10</v>
      </c>
      <c r="B1439" s="81"/>
      <c r="C1439" s="63"/>
      <c r="D1439" s="63"/>
      <c r="E1439" s="63">
        <f>SUM(E1436:E1438)</f>
        <v>182.16673600000001</v>
      </c>
      <c r="F1439" s="63"/>
      <c r="G1439" s="63">
        <f>SUM(G1436:G1438)</f>
        <v>32.166736</v>
      </c>
      <c r="H1439" s="26"/>
      <c r="I1439" s="63">
        <f>SUM(I1436:I1438)</f>
        <v>150</v>
      </c>
      <c r="J1439" s="26"/>
      <c r="K1439" s="63"/>
      <c r="L1439" s="26"/>
      <c r="M1439" s="133"/>
    </row>
    <row r="1440" spans="1:13" ht="13.5" thickBot="1">
      <c r="A1440" s="64" t="s">
        <v>29</v>
      </c>
      <c r="B1440" s="81"/>
      <c r="C1440" s="63"/>
      <c r="D1440" s="63"/>
      <c r="E1440" s="63">
        <f t="shared" si="35"/>
        <v>3689.054768</v>
      </c>
      <c r="F1440" s="63"/>
      <c r="G1440" s="63">
        <f>0.4236*C1390</f>
        <v>1530.9920639999998</v>
      </c>
      <c r="H1440" s="26"/>
      <c r="I1440" s="63">
        <f>0.5971*C1390</f>
        <v>2158.062704</v>
      </c>
      <c r="J1440" s="26"/>
      <c r="K1440" s="63"/>
      <c r="L1440" s="26"/>
      <c r="M1440" s="133"/>
    </row>
    <row r="1441" spans="1:13" ht="21.75">
      <c r="A1441" s="65" t="s">
        <v>83</v>
      </c>
      <c r="B1441" s="61"/>
      <c r="C1441" s="56"/>
      <c r="D1441" s="56"/>
      <c r="E1441" s="56">
        <f>E1412+E1434+E1439+E1440</f>
        <v>263860.0595082666</v>
      </c>
      <c r="F1441" s="56"/>
      <c r="G1441" s="103">
        <f>G1412+G1434+G1439+G1440</f>
        <v>92340.941928</v>
      </c>
      <c r="H1441" s="74"/>
      <c r="I1441" s="56">
        <f>I1412+I1434+I1439+I1440</f>
        <v>123060.09629919998</v>
      </c>
      <c r="J1441" s="74"/>
      <c r="K1441" s="56">
        <f>K1412+K1434+K1439+K1440</f>
        <v>42925.01128106667</v>
      </c>
      <c r="L1441" s="74"/>
      <c r="M1441" s="10">
        <f>M1434</f>
        <v>5534.01</v>
      </c>
    </row>
    <row r="1442" spans="1:13" ht="33.75">
      <c r="A1442" s="67" t="s">
        <v>84</v>
      </c>
      <c r="B1442" s="46"/>
      <c r="C1442" s="7"/>
      <c r="D1442" s="7"/>
      <c r="E1442" s="8">
        <f>E1441/6/C1390</f>
        <v>12.16761382329649</v>
      </c>
      <c r="F1442" s="8"/>
      <c r="G1442" s="8">
        <f>G1441/3/C1390</f>
        <v>8.516400121740672</v>
      </c>
      <c r="H1442" s="2"/>
      <c r="I1442" s="8">
        <f>I1441/3/C1390</f>
        <v>11.349559547714962</v>
      </c>
      <c r="J1442" s="2"/>
      <c r="K1442" s="8">
        <f>K1441/1/C1390</f>
        <v>11.876635552997772</v>
      </c>
      <c r="L1442" s="2"/>
      <c r="M1442" s="8">
        <f>M1441/3/C1390</f>
        <v>0.5103894594714242</v>
      </c>
    </row>
    <row r="1443" spans="1:13" ht="12.75">
      <c r="A1443" s="69" t="s">
        <v>20</v>
      </c>
      <c r="B1443" s="44"/>
      <c r="C1443" s="45"/>
      <c r="D1443" s="45"/>
      <c r="E1443" s="7">
        <f>E1395-E1441</f>
        <v>15324.410491733346</v>
      </c>
      <c r="F1443" s="45"/>
      <c r="G1443" s="7">
        <f>G1395-G1441</f>
        <v>-3758.7119280000043</v>
      </c>
      <c r="H1443" s="2"/>
      <c r="I1443" s="7">
        <f>I1395-I1441-3759</f>
        <v>-20586.146299199987</v>
      </c>
      <c r="J1443" s="2"/>
      <c r="K1443" s="7">
        <f>K1395-K1441-20586</f>
        <v>20858.278718933325</v>
      </c>
      <c r="L1443" s="2"/>
      <c r="M1443" s="7">
        <f>M1395-M1441+K1443</f>
        <v>15324.268718933325</v>
      </c>
    </row>
    <row r="1444" spans="1:13" ht="12.75">
      <c r="A1444" s="14" t="s">
        <v>24</v>
      </c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</row>
    <row r="1445" spans="1:13" ht="12.75">
      <c r="A1445" s="14" t="s">
        <v>35</v>
      </c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</row>
    <row r="1446" spans="1:13" ht="12.75">
      <c r="A1446" s="14" t="s">
        <v>25</v>
      </c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</row>
    <row r="1447" spans="1:13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</row>
    <row r="1448" spans="1:13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</row>
    <row r="1449" spans="1:13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</row>
    <row r="1450" spans="1:13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</row>
    <row r="1451" spans="1:13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</row>
    <row r="1452" spans="1:13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</row>
    <row r="1453" spans="1:13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</row>
    <row r="1454" spans="1:13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</row>
    <row r="1455" spans="1:13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</row>
    <row r="1456" spans="1:13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</row>
    <row r="1457" spans="1:13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</row>
    <row r="1458" spans="1:13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</row>
    <row r="1459" spans="1:13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</row>
    <row r="1460" spans="1:13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</row>
    <row r="1461" spans="1:13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</row>
    <row r="1462" spans="1:13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</row>
    <row r="1463" spans="1:13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</row>
    <row r="1464" spans="1:13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</row>
    <row r="1465" spans="1:13" ht="12" customHeight="1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</row>
    <row r="1466" spans="1:13" ht="12.75" hidden="1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</row>
    <row r="1467" spans="1:13" ht="0.75" customHeight="1" hidden="1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</row>
    <row r="1468" spans="1:13" ht="12.75" hidden="1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</row>
    <row r="1469" spans="1:13" ht="12.75" hidden="1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</row>
    <row r="1470" spans="1:13" ht="12.75">
      <c r="A1470" s="31" t="s">
        <v>21</v>
      </c>
      <c r="B1470" s="31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</row>
    <row r="1471" spans="1:13" ht="12.75">
      <c r="A1471" s="14" t="s">
        <v>31</v>
      </c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</row>
    <row r="1472" spans="1:13" ht="12.75">
      <c r="A1472" s="14" t="s">
        <v>41</v>
      </c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</row>
    <row r="1473" spans="1:13" ht="12.75">
      <c r="A1473" s="14" t="s">
        <v>116</v>
      </c>
      <c r="B1473" s="14"/>
      <c r="C1473" s="14"/>
      <c r="D1473" s="14"/>
      <c r="E1473" s="14" t="s">
        <v>32</v>
      </c>
      <c r="F1473" s="14"/>
      <c r="G1473" s="14"/>
      <c r="H1473" s="14"/>
      <c r="I1473" s="14"/>
      <c r="J1473" s="14"/>
      <c r="K1473" s="14"/>
      <c r="L1473" s="14"/>
      <c r="M1473" s="14"/>
    </row>
    <row r="1474" spans="1:13" ht="12.75" customHeight="1">
      <c r="A1474" s="6" t="s">
        <v>0</v>
      </c>
      <c r="B1474" s="151" t="s">
        <v>38</v>
      </c>
      <c r="C1474" s="152"/>
      <c r="D1474" s="149" t="s">
        <v>39</v>
      </c>
      <c r="E1474" s="150"/>
      <c r="F1474" s="149" t="s">
        <v>96</v>
      </c>
      <c r="G1474" s="150"/>
      <c r="H1474" s="149" t="s">
        <v>97</v>
      </c>
      <c r="I1474" s="150"/>
      <c r="J1474" s="149" t="s">
        <v>98</v>
      </c>
      <c r="K1474" s="150"/>
      <c r="L1474" s="149" t="s">
        <v>99</v>
      </c>
      <c r="M1474" s="150"/>
    </row>
    <row r="1475" spans="1:13" ht="12.75">
      <c r="A1475" s="11" t="s">
        <v>5</v>
      </c>
      <c r="B1475" s="153"/>
      <c r="C1475" s="154"/>
      <c r="D1475" s="6" t="s">
        <v>40</v>
      </c>
      <c r="E1475" s="6" t="s">
        <v>22</v>
      </c>
      <c r="F1475" s="6" t="s">
        <v>40</v>
      </c>
      <c r="G1475" s="13" t="s">
        <v>22</v>
      </c>
      <c r="H1475" s="2"/>
      <c r="I1475" s="2"/>
      <c r="J1475" s="2"/>
      <c r="K1475" s="2"/>
      <c r="L1475" s="2"/>
      <c r="M1475" s="2"/>
    </row>
    <row r="1476" spans="1:13" ht="12.75">
      <c r="A1476" s="2" t="s">
        <v>1</v>
      </c>
      <c r="B1476" s="2"/>
      <c r="C1476" s="6">
        <v>5</v>
      </c>
      <c r="D1476" s="2"/>
      <c r="E1476" s="2"/>
      <c r="F1476" s="2"/>
      <c r="G1476" s="2"/>
      <c r="H1476" s="2"/>
      <c r="I1476" s="2"/>
      <c r="J1476" s="2"/>
      <c r="K1476" s="2"/>
      <c r="L1476" s="2"/>
      <c r="M1476" s="2"/>
    </row>
    <row r="1477" spans="1:13" ht="12.75">
      <c r="A1477" s="2" t="s">
        <v>2</v>
      </c>
      <c r="B1477" s="2"/>
      <c r="C1477" s="6">
        <v>6</v>
      </c>
      <c r="D1477" s="2"/>
      <c r="E1477" s="2"/>
      <c r="F1477" s="2"/>
      <c r="G1477" s="2"/>
      <c r="H1477" s="2"/>
      <c r="I1477" s="2"/>
      <c r="J1477" s="2"/>
      <c r="K1477" s="2"/>
      <c r="L1477" s="2"/>
      <c r="M1477" s="2"/>
    </row>
    <row r="1478" spans="1:13" ht="12.75">
      <c r="A1478" s="2" t="s">
        <v>3</v>
      </c>
      <c r="B1478" s="2"/>
      <c r="C1478" s="6">
        <v>61</v>
      </c>
      <c r="D1478" s="2"/>
      <c r="E1478" s="2"/>
      <c r="F1478" s="2"/>
      <c r="G1478" s="2"/>
      <c r="H1478" s="2"/>
      <c r="I1478" s="2"/>
      <c r="J1478" s="2"/>
      <c r="K1478" s="2"/>
      <c r="L1478" s="2"/>
      <c r="M1478" s="2"/>
    </row>
    <row r="1479" spans="1:13" ht="12.75">
      <c r="A1479" s="2" t="s">
        <v>4</v>
      </c>
      <c r="B1479" s="6"/>
      <c r="C1479" s="6">
        <v>3612.88</v>
      </c>
      <c r="D1479" s="6"/>
      <c r="E1479" s="6"/>
      <c r="F1479" s="6"/>
      <c r="G1479" s="2"/>
      <c r="H1479" s="2"/>
      <c r="I1479" s="2"/>
      <c r="J1479" s="2"/>
      <c r="K1479" s="6">
        <v>3639.31</v>
      </c>
      <c r="L1479" s="2"/>
      <c r="M1479" s="2"/>
    </row>
    <row r="1480" spans="1:13" ht="21.75">
      <c r="A1480" s="35" t="s">
        <v>6</v>
      </c>
      <c r="B1480" s="11" t="s">
        <v>40</v>
      </c>
      <c r="C1480" s="2" t="s">
        <v>22</v>
      </c>
      <c r="D1480" s="2"/>
      <c r="E1480" s="2"/>
      <c r="F1480" s="2"/>
      <c r="G1480" s="2"/>
      <c r="H1480" s="2"/>
      <c r="I1480" s="2"/>
      <c r="J1480" s="2"/>
      <c r="K1480" s="2"/>
      <c r="L1480" s="2"/>
      <c r="M1480" s="2"/>
    </row>
    <row r="1481" spans="1:13" ht="22.5">
      <c r="A1481" s="40" t="s">
        <v>7</v>
      </c>
      <c r="B1481" s="3"/>
      <c r="C1481" s="6"/>
      <c r="D1481" s="6"/>
      <c r="E1481" s="98">
        <f>G1481+I1481+K1481+M1481</f>
        <v>417378.43</v>
      </c>
      <c r="F1481" s="2"/>
      <c r="G1481" s="99">
        <v>105151.69</v>
      </c>
      <c r="H1481" s="2"/>
      <c r="I1481" s="4">
        <v>109018.7</v>
      </c>
      <c r="J1481" s="2"/>
      <c r="K1481" s="2">
        <v>96559.84</v>
      </c>
      <c r="L1481" s="2"/>
      <c r="M1481" s="2">
        <v>106648.2</v>
      </c>
    </row>
    <row r="1482" spans="1:13" ht="12.75">
      <c r="A1482" s="41" t="s">
        <v>8</v>
      </c>
      <c r="B1482" s="3"/>
      <c r="C1482" s="6"/>
      <c r="D1482" s="6"/>
      <c r="E1482" s="7">
        <f aca="true" t="shared" si="36" ref="E1482:E1533">G1482+I1482+K1482+M1482</f>
        <v>13331.2</v>
      </c>
      <c r="F1482" s="2"/>
      <c r="G1482" s="2"/>
      <c r="H1482" s="2"/>
      <c r="I1482" s="4">
        <v>3081.7</v>
      </c>
      <c r="J1482" s="2"/>
      <c r="K1482" s="2">
        <v>8206.2</v>
      </c>
      <c r="L1482" s="2"/>
      <c r="M1482" s="2">
        <v>2043.3</v>
      </c>
    </row>
    <row r="1483" spans="1:13" ht="12.75">
      <c r="A1483" s="41" t="s">
        <v>9</v>
      </c>
      <c r="B1483" s="3"/>
      <c r="C1483" s="6"/>
      <c r="D1483" s="6"/>
      <c r="E1483" s="7">
        <f t="shared" si="36"/>
        <v>0</v>
      </c>
      <c r="F1483" s="2"/>
      <c r="G1483" s="2"/>
      <c r="H1483" s="2"/>
      <c r="I1483" s="4"/>
      <c r="J1483" s="2"/>
      <c r="K1483" s="2"/>
      <c r="L1483" s="2"/>
      <c r="M1483" s="2"/>
    </row>
    <row r="1484" spans="1:13" ht="12.75">
      <c r="A1484" s="2" t="s">
        <v>10</v>
      </c>
      <c r="B1484" s="42"/>
      <c r="C1484" s="11"/>
      <c r="D1484" s="11"/>
      <c r="E1484" s="38">
        <f>SUM(E1481:E1483)</f>
        <v>430709.63</v>
      </c>
      <c r="F1484" s="37"/>
      <c r="G1484" s="37">
        <f>SUM(G1481:G1483)</f>
        <v>105151.69</v>
      </c>
      <c r="H1484" s="2"/>
      <c r="I1484" s="4">
        <f>SUM(I1481:I1483)</f>
        <v>112100.4</v>
      </c>
      <c r="J1484" s="2"/>
      <c r="K1484" s="2">
        <f>SUM(K1481:K1483)</f>
        <v>104766.04</v>
      </c>
      <c r="L1484" s="2"/>
      <c r="M1484" s="2">
        <f>SUM(M1481:M1483)</f>
        <v>108691.5</v>
      </c>
    </row>
    <row r="1485" spans="1:13" ht="21.75">
      <c r="A1485" s="35" t="s">
        <v>82</v>
      </c>
      <c r="B1485" s="42"/>
      <c r="C1485" s="2"/>
      <c r="D1485" s="2"/>
      <c r="E1485" s="7">
        <f t="shared" si="36"/>
        <v>0</v>
      </c>
      <c r="F1485" s="2"/>
      <c r="G1485" s="2"/>
      <c r="H1485" s="2"/>
      <c r="I1485" s="2"/>
      <c r="J1485" s="2"/>
      <c r="K1485" s="2"/>
      <c r="L1485" s="2"/>
      <c r="M1485" s="2"/>
    </row>
    <row r="1486" spans="1:13" ht="12.75">
      <c r="A1486" s="43" t="s">
        <v>11</v>
      </c>
      <c r="B1486" s="44"/>
      <c r="C1486" s="45"/>
      <c r="D1486" s="45"/>
      <c r="E1486" s="7">
        <f t="shared" si="36"/>
        <v>118250.2509008</v>
      </c>
      <c r="F1486" s="45"/>
      <c r="G1486" s="7">
        <f>7.99407*C1479</f>
        <v>28881.6156216</v>
      </c>
      <c r="H1486" s="2"/>
      <c r="I1486" s="7">
        <f>9.57707*C1479</f>
        <v>34600.80466160001</v>
      </c>
      <c r="J1486" s="2"/>
      <c r="K1486" s="7">
        <f>7.32829*K1479</f>
        <v>26669.9190799</v>
      </c>
      <c r="L1486" s="2"/>
      <c r="M1486" s="7">
        <f>7.72067*K1479</f>
        <v>28097.9115377</v>
      </c>
    </row>
    <row r="1487" spans="1:13" ht="12.75">
      <c r="A1487" s="43" t="s">
        <v>12</v>
      </c>
      <c r="B1487" s="46"/>
      <c r="C1487" s="7"/>
      <c r="D1487" s="7"/>
      <c r="E1487" s="7">
        <f t="shared" si="36"/>
        <v>0</v>
      </c>
      <c r="F1487" s="7"/>
      <c r="G1487" s="7"/>
      <c r="H1487" s="2"/>
      <c r="I1487" s="7"/>
      <c r="J1487" s="2"/>
      <c r="K1487" s="7"/>
      <c r="L1487" s="2"/>
      <c r="M1487" s="7"/>
    </row>
    <row r="1488" spans="1:13" ht="12.75">
      <c r="A1488" s="41" t="s">
        <v>13</v>
      </c>
      <c r="B1488" s="46"/>
      <c r="C1488" s="7"/>
      <c r="D1488" s="7"/>
      <c r="E1488" s="7">
        <f t="shared" si="36"/>
        <v>140394.6233711</v>
      </c>
      <c r="F1488" s="7"/>
      <c r="G1488" s="7">
        <f>G1489+G1491+G1492+G1493+G1494+G1495+G1496+G1497+G1498+G1499+G1500</f>
        <v>32559.102448</v>
      </c>
      <c r="H1488" s="2"/>
      <c r="I1488" s="7">
        <f>I1489+I1491+I1492+I1493+I1494+I1495+I1500</f>
        <v>37560.9489912</v>
      </c>
      <c r="J1488" s="2"/>
      <c r="K1488" s="7">
        <f>K1489+K1491+K1492+K1493+K1494+K1495+K1496+K1497+K1498+K1499+K1500</f>
        <v>37804.5568419</v>
      </c>
      <c r="L1488" s="2"/>
      <c r="M1488" s="7">
        <f>M1489+M1491+M1492+M1493+M1494+M1495+M1496+M1497+M1498+M1499+M1500</f>
        <v>32470.01509</v>
      </c>
    </row>
    <row r="1489" spans="1:13" ht="12.75">
      <c r="A1489" s="47" t="s">
        <v>14</v>
      </c>
      <c r="B1489" s="46"/>
      <c r="C1489" s="71"/>
      <c r="D1489" s="7"/>
      <c r="E1489" s="7">
        <f t="shared" si="36"/>
        <v>122917</v>
      </c>
      <c r="F1489" s="7"/>
      <c r="G1489" s="7">
        <v>31777</v>
      </c>
      <c r="H1489" s="2"/>
      <c r="I1489" s="7">
        <v>30708</v>
      </c>
      <c r="J1489" s="2"/>
      <c r="K1489" s="7">
        <v>32380</v>
      </c>
      <c r="L1489" s="2"/>
      <c r="M1489" s="7">
        <v>28052</v>
      </c>
    </row>
    <row r="1490" spans="1:13" ht="12.75">
      <c r="A1490" s="41" t="s">
        <v>19</v>
      </c>
      <c r="B1490" s="46"/>
      <c r="C1490" s="71"/>
      <c r="D1490" s="7"/>
      <c r="E1490" s="7">
        <f t="shared" si="36"/>
        <v>78880.1</v>
      </c>
      <c r="F1490" s="7"/>
      <c r="G1490" s="7">
        <v>19730.1</v>
      </c>
      <c r="H1490" s="2"/>
      <c r="I1490" s="7">
        <v>19730</v>
      </c>
      <c r="J1490" s="2"/>
      <c r="K1490" s="7">
        <v>19710</v>
      </c>
      <c r="L1490" s="2"/>
      <c r="M1490" s="7">
        <v>19710</v>
      </c>
    </row>
    <row r="1491" spans="1:13" ht="12.75">
      <c r="A1491" s="41" t="s">
        <v>18</v>
      </c>
      <c r="B1491" s="46"/>
      <c r="C1491" s="7"/>
      <c r="D1491" s="7"/>
      <c r="E1491" s="7">
        <f t="shared" si="36"/>
        <v>1347.4899999999998</v>
      </c>
      <c r="F1491" s="7"/>
      <c r="G1491" s="7">
        <v>211.29</v>
      </c>
      <c r="H1491" s="2"/>
      <c r="I1491" s="7">
        <v>297.37</v>
      </c>
      <c r="J1491" s="2"/>
      <c r="K1491" s="7">
        <v>402.68</v>
      </c>
      <c r="L1491" s="2"/>
      <c r="M1491" s="7">
        <v>436.15</v>
      </c>
    </row>
    <row r="1492" spans="1:13" ht="12.75">
      <c r="A1492" s="41" t="s">
        <v>53</v>
      </c>
      <c r="B1492" s="46"/>
      <c r="C1492" s="7"/>
      <c r="D1492" s="7"/>
      <c r="E1492" s="7">
        <f t="shared" si="36"/>
        <v>4991.7772681</v>
      </c>
      <c r="F1492" s="7"/>
      <c r="G1492" s="7"/>
      <c r="H1492" s="2"/>
      <c r="I1492" s="7">
        <f>0.53049*C1479</f>
        <v>1916.5967112</v>
      </c>
      <c r="J1492" s="2"/>
      <c r="K1492" s="7">
        <f>0.60599*K1479</f>
        <v>2205.3854669</v>
      </c>
      <c r="L1492" s="2"/>
      <c r="M1492" s="7">
        <f>0.239*K1479</f>
        <v>869.79509</v>
      </c>
    </row>
    <row r="1493" spans="1:13" ht="12.75">
      <c r="A1493" s="41" t="s">
        <v>148</v>
      </c>
      <c r="B1493" s="46"/>
      <c r="C1493" s="7"/>
      <c r="D1493" s="7"/>
      <c r="E1493" s="7">
        <f t="shared" si="36"/>
        <v>1427.5</v>
      </c>
      <c r="F1493" s="7"/>
      <c r="G1493" s="7">
        <v>500</v>
      </c>
      <c r="H1493" s="2"/>
      <c r="I1493" s="7">
        <v>377.5</v>
      </c>
      <c r="J1493" s="2"/>
      <c r="K1493" s="7">
        <v>550</v>
      </c>
      <c r="L1493" s="2"/>
      <c r="M1493" s="7"/>
    </row>
    <row r="1494" spans="1:13" ht="12.75">
      <c r="A1494" s="41" t="s">
        <v>27</v>
      </c>
      <c r="B1494" s="46"/>
      <c r="C1494" s="7"/>
      <c r="D1494" s="7"/>
      <c r="E1494" s="7">
        <f t="shared" si="36"/>
        <v>1251</v>
      </c>
      <c r="F1494" s="7"/>
      <c r="G1494" s="7"/>
      <c r="H1494" s="2"/>
      <c r="I1494" s="7">
        <v>1251</v>
      </c>
      <c r="J1494" s="2"/>
      <c r="K1494" s="7"/>
      <c r="L1494" s="2"/>
      <c r="M1494" s="7"/>
    </row>
    <row r="1495" spans="1:13" ht="12.75">
      <c r="A1495" s="41" t="s">
        <v>36</v>
      </c>
      <c r="B1495" s="46"/>
      <c r="C1495" s="7"/>
      <c r="D1495" s="7"/>
      <c r="E1495" s="7">
        <f t="shared" si="36"/>
        <v>8096.07</v>
      </c>
      <c r="F1495" s="7"/>
      <c r="G1495" s="7"/>
      <c r="H1495" s="2" t="s">
        <v>240</v>
      </c>
      <c r="I1495" s="7">
        <v>2763</v>
      </c>
      <c r="J1495" s="2" t="s">
        <v>319</v>
      </c>
      <c r="K1495" s="7">
        <v>2221</v>
      </c>
      <c r="L1495" s="2" t="s">
        <v>420</v>
      </c>
      <c r="M1495" s="7">
        <v>3112.07</v>
      </c>
    </row>
    <row r="1496" spans="1:13" ht="12.75">
      <c r="A1496" s="41" t="s">
        <v>58</v>
      </c>
      <c r="B1496" s="46"/>
      <c r="C1496" s="7"/>
      <c r="D1496" s="7"/>
      <c r="E1496" s="7">
        <f t="shared" si="36"/>
        <v>0</v>
      </c>
      <c r="F1496" s="7"/>
      <c r="G1496" s="7"/>
      <c r="H1496" s="2"/>
      <c r="I1496" s="7"/>
      <c r="J1496" s="2"/>
      <c r="K1496" s="7"/>
      <c r="L1496" s="2"/>
      <c r="M1496" s="7"/>
    </row>
    <row r="1497" spans="1:13" ht="12.75">
      <c r="A1497" s="41" t="s">
        <v>43</v>
      </c>
      <c r="B1497" s="46"/>
      <c r="C1497" s="7"/>
      <c r="D1497" s="7"/>
      <c r="E1497" s="7">
        <f t="shared" si="36"/>
        <v>0</v>
      </c>
      <c r="F1497" s="7"/>
      <c r="G1497" s="7"/>
      <c r="H1497" s="2"/>
      <c r="I1497" s="7"/>
      <c r="J1497" s="2"/>
      <c r="K1497" s="7"/>
      <c r="L1497" s="2"/>
      <c r="M1497" s="7"/>
    </row>
    <row r="1498" spans="1:13" ht="12.75">
      <c r="A1498" s="41" t="s">
        <v>30</v>
      </c>
      <c r="B1498" s="46"/>
      <c r="C1498" s="7"/>
      <c r="D1498" s="7"/>
      <c r="E1498" s="7">
        <f t="shared" si="36"/>
        <v>0</v>
      </c>
      <c r="F1498" s="7"/>
      <c r="G1498" s="7"/>
      <c r="H1498" s="2"/>
      <c r="I1498" s="7"/>
      <c r="J1498" s="2"/>
      <c r="K1498" s="7"/>
      <c r="L1498" s="2"/>
      <c r="M1498" s="7"/>
    </row>
    <row r="1499" spans="1:13" ht="12.75">
      <c r="A1499" s="41" t="s">
        <v>54</v>
      </c>
      <c r="B1499" s="46"/>
      <c r="C1499" s="7"/>
      <c r="D1499" s="7"/>
      <c r="E1499" s="7">
        <f t="shared" si="36"/>
        <v>70.812448</v>
      </c>
      <c r="F1499" s="7"/>
      <c r="G1499" s="7">
        <f>0.0196*C1479</f>
        <v>70.812448</v>
      </c>
      <c r="H1499" s="2"/>
      <c r="I1499" s="7"/>
      <c r="J1499" s="2"/>
      <c r="K1499" s="7"/>
      <c r="L1499" s="2"/>
      <c r="M1499" s="7"/>
    </row>
    <row r="1500" spans="1:13" ht="13.5" thickBot="1">
      <c r="A1500" s="48" t="s">
        <v>55</v>
      </c>
      <c r="B1500" s="49"/>
      <c r="C1500" s="50"/>
      <c r="D1500" s="50"/>
      <c r="E1500" s="50">
        <f t="shared" si="36"/>
        <v>292.973655</v>
      </c>
      <c r="F1500" s="50"/>
      <c r="G1500" s="50"/>
      <c r="H1500" s="22"/>
      <c r="I1500" s="50">
        <f>0.0685*C1479</f>
        <v>247.48228000000003</v>
      </c>
      <c r="J1500" s="22"/>
      <c r="K1500" s="50">
        <f>0.0125*K1479</f>
        <v>45.491375000000005</v>
      </c>
      <c r="L1500" s="22"/>
      <c r="M1500" s="50"/>
    </row>
    <row r="1501" spans="1:13" ht="13.5" thickBot="1">
      <c r="A1501" s="51" t="s">
        <v>76</v>
      </c>
      <c r="B1501" s="81"/>
      <c r="C1501" s="63"/>
      <c r="D1501" s="63"/>
      <c r="E1501" s="63">
        <f t="shared" si="36"/>
        <v>258644.8742719</v>
      </c>
      <c r="F1501" s="63"/>
      <c r="G1501" s="63">
        <f>G1486+G1488</f>
        <v>61440.7180696</v>
      </c>
      <c r="H1501" s="26"/>
      <c r="I1501" s="63">
        <f>I1486+I1488</f>
        <v>72161.7536528</v>
      </c>
      <c r="J1501" s="26"/>
      <c r="K1501" s="63">
        <f>K1486+K1488</f>
        <v>64474.475921799996</v>
      </c>
      <c r="L1501" s="26"/>
      <c r="M1501" s="29">
        <f>M1486+M1488</f>
        <v>60567.9266277</v>
      </c>
    </row>
    <row r="1502" spans="1:13" ht="21.75">
      <c r="A1502" s="54" t="s">
        <v>15</v>
      </c>
      <c r="B1502" s="55"/>
      <c r="C1502" s="66"/>
      <c r="D1502" s="66"/>
      <c r="E1502" s="56">
        <f t="shared" si="36"/>
        <v>0</v>
      </c>
      <c r="F1502" s="66"/>
      <c r="G1502" s="56"/>
      <c r="H1502" s="74"/>
      <c r="I1502" s="56"/>
      <c r="J1502" s="74"/>
      <c r="K1502" s="56"/>
      <c r="L1502" s="74"/>
      <c r="M1502" s="56"/>
    </row>
    <row r="1503" spans="1:13" ht="12.75">
      <c r="A1503" s="41" t="s">
        <v>17</v>
      </c>
      <c r="B1503" s="46"/>
      <c r="C1503" s="7"/>
      <c r="D1503" s="7"/>
      <c r="E1503" s="7">
        <f t="shared" si="36"/>
        <v>102525.2370077</v>
      </c>
      <c r="F1503" s="7"/>
      <c r="G1503" s="7">
        <f>6.73321*C1479</f>
        <v>24326.2797448</v>
      </c>
      <c r="H1503" s="2"/>
      <c r="I1503" s="7">
        <f>7.02207*C1479</f>
        <v>25369.896261600003</v>
      </c>
      <c r="J1503" s="2"/>
      <c r="K1503" s="7">
        <f>7.2754*K1479</f>
        <v>26477.435974</v>
      </c>
      <c r="L1503" s="2"/>
      <c r="M1503" s="7">
        <f>7.24083*K1479</f>
        <v>26351.6250273</v>
      </c>
    </row>
    <row r="1504" spans="1:13" ht="12.75">
      <c r="A1504" s="41" t="s">
        <v>422</v>
      </c>
      <c r="B1504" s="46"/>
      <c r="C1504" s="71"/>
      <c r="D1504" s="7"/>
      <c r="E1504" s="7">
        <f t="shared" si="36"/>
        <v>22470</v>
      </c>
      <c r="F1504" s="7"/>
      <c r="G1504" s="7"/>
      <c r="H1504" s="2"/>
      <c r="I1504" s="7"/>
      <c r="J1504" s="2"/>
      <c r="K1504" s="7">
        <v>16440</v>
      </c>
      <c r="L1504" s="2"/>
      <c r="M1504" s="7">
        <v>6030</v>
      </c>
    </row>
    <row r="1505" spans="1:13" ht="12.75">
      <c r="A1505" s="41" t="s">
        <v>67</v>
      </c>
      <c r="B1505" s="46"/>
      <c r="C1505" s="7"/>
      <c r="D1505" s="7"/>
      <c r="E1505" s="7">
        <f t="shared" si="36"/>
        <v>21313</v>
      </c>
      <c r="F1505" s="7"/>
      <c r="G1505" s="7">
        <v>9353</v>
      </c>
      <c r="H1505" s="2"/>
      <c r="I1505" s="7">
        <v>4905</v>
      </c>
      <c r="J1505" s="2"/>
      <c r="K1505" s="7">
        <v>7055</v>
      </c>
      <c r="L1505" s="2"/>
      <c r="M1505" s="7"/>
    </row>
    <row r="1506" spans="1:13" ht="12.75">
      <c r="A1506" s="41" t="s">
        <v>68</v>
      </c>
      <c r="B1506" s="46"/>
      <c r="C1506" s="7"/>
      <c r="D1506" s="7"/>
      <c r="E1506" s="7">
        <f t="shared" si="36"/>
        <v>90</v>
      </c>
      <c r="F1506" s="7"/>
      <c r="G1506" s="7"/>
      <c r="H1506" s="2"/>
      <c r="I1506" s="7">
        <v>90</v>
      </c>
      <c r="J1506" s="2"/>
      <c r="K1506" s="7"/>
      <c r="L1506" s="2"/>
      <c r="M1506" s="7"/>
    </row>
    <row r="1507" spans="1:13" ht="12.75">
      <c r="A1507" s="41" t="s">
        <v>69</v>
      </c>
      <c r="B1507" s="46"/>
      <c r="C1507" s="7"/>
      <c r="D1507" s="7"/>
      <c r="E1507" s="7">
        <f t="shared" si="36"/>
        <v>0</v>
      </c>
      <c r="F1507" s="7"/>
      <c r="G1507" s="7"/>
      <c r="H1507" s="2"/>
      <c r="I1507" s="7"/>
      <c r="J1507" s="2"/>
      <c r="K1507" s="7"/>
      <c r="L1507" s="2"/>
      <c r="M1507" s="7"/>
    </row>
    <row r="1508" spans="1:13" ht="12.75">
      <c r="A1508" s="41" t="s">
        <v>26</v>
      </c>
      <c r="B1508" s="46"/>
      <c r="C1508" s="7"/>
      <c r="D1508" s="7"/>
      <c r="E1508" s="7">
        <f t="shared" si="36"/>
        <v>1739.5</v>
      </c>
      <c r="F1508" s="7"/>
      <c r="G1508" s="7"/>
      <c r="H1508" s="2"/>
      <c r="I1508" s="7"/>
      <c r="J1508" s="2"/>
      <c r="K1508" s="7">
        <v>585.5</v>
      </c>
      <c r="L1508" s="2"/>
      <c r="M1508" s="7">
        <v>1154</v>
      </c>
    </row>
    <row r="1509" spans="1:13" ht="12.75">
      <c r="A1509" s="41" t="s">
        <v>28</v>
      </c>
      <c r="B1509" s="46"/>
      <c r="C1509" s="7"/>
      <c r="D1509" s="7"/>
      <c r="E1509" s="7">
        <f t="shared" si="36"/>
        <v>0</v>
      </c>
      <c r="F1509" s="7"/>
      <c r="G1509" s="7"/>
      <c r="H1509" s="2"/>
      <c r="I1509" s="7"/>
      <c r="J1509" s="2"/>
      <c r="K1509" s="7"/>
      <c r="L1509" s="2"/>
      <c r="M1509" s="7"/>
    </row>
    <row r="1510" spans="1:13" ht="12.75">
      <c r="A1510" s="41" t="s">
        <v>320</v>
      </c>
      <c r="B1510" s="46"/>
      <c r="C1510" s="7"/>
      <c r="D1510" s="7"/>
      <c r="E1510" s="7"/>
      <c r="F1510" s="7"/>
      <c r="G1510" s="7"/>
      <c r="H1510" s="2"/>
      <c r="I1510" s="7"/>
      <c r="J1510" s="2"/>
      <c r="K1510" s="7">
        <v>3062.5</v>
      </c>
      <c r="L1510" s="2"/>
      <c r="M1510" s="7"/>
    </row>
    <row r="1511" spans="1:13" ht="12.75">
      <c r="A1511" s="41" t="s">
        <v>60</v>
      </c>
      <c r="B1511" s="46"/>
      <c r="C1511" s="7"/>
      <c r="D1511" s="7"/>
      <c r="E1511" s="7">
        <f t="shared" si="36"/>
        <v>0</v>
      </c>
      <c r="F1511" s="7"/>
      <c r="G1511" s="7"/>
      <c r="H1511" s="2"/>
      <c r="I1511" s="7"/>
      <c r="J1511" s="2"/>
      <c r="K1511" s="7"/>
      <c r="L1511" s="2"/>
      <c r="M1511" s="7"/>
    </row>
    <row r="1512" spans="1:13" ht="12.75">
      <c r="A1512" s="41" t="s">
        <v>75</v>
      </c>
      <c r="B1512" s="46"/>
      <c r="C1512" s="7"/>
      <c r="D1512" s="7"/>
      <c r="E1512" s="7">
        <f t="shared" si="36"/>
        <v>0</v>
      </c>
      <c r="F1512" s="7"/>
      <c r="G1512" s="7"/>
      <c r="H1512" s="2"/>
      <c r="I1512" s="7"/>
      <c r="J1512" s="2"/>
      <c r="K1512" s="7"/>
      <c r="L1512" s="2"/>
      <c r="M1512" s="7"/>
    </row>
    <row r="1513" spans="1:13" ht="12.75">
      <c r="A1513" s="41" t="s">
        <v>62</v>
      </c>
      <c r="B1513" s="46"/>
      <c r="C1513" s="7"/>
      <c r="D1513" s="7"/>
      <c r="E1513" s="7">
        <f t="shared" si="36"/>
        <v>0</v>
      </c>
      <c r="F1513" s="7"/>
      <c r="G1513" s="7"/>
      <c r="H1513" s="2"/>
      <c r="I1513" s="7"/>
      <c r="J1513" s="2"/>
      <c r="K1513" s="7"/>
      <c r="L1513" s="2"/>
      <c r="M1513" s="7"/>
    </row>
    <row r="1514" spans="1:13" ht="12.75">
      <c r="A1514" s="41" t="s">
        <v>63</v>
      </c>
      <c r="B1514" s="46"/>
      <c r="C1514" s="7"/>
      <c r="D1514" s="7"/>
      <c r="E1514" s="7">
        <f t="shared" si="36"/>
        <v>0</v>
      </c>
      <c r="F1514" s="7"/>
      <c r="G1514" s="7"/>
      <c r="H1514" s="2"/>
      <c r="I1514" s="7"/>
      <c r="J1514" s="2"/>
      <c r="K1514" s="7"/>
      <c r="L1514" s="2"/>
      <c r="M1514" s="7"/>
    </row>
    <row r="1515" spans="1:13" ht="12.75">
      <c r="A1515" s="41" t="s">
        <v>66</v>
      </c>
      <c r="B1515" s="46"/>
      <c r="C1515" s="7"/>
      <c r="D1515" s="7"/>
      <c r="E1515" s="7">
        <f t="shared" si="36"/>
        <v>0</v>
      </c>
      <c r="F1515" s="7"/>
      <c r="G1515" s="7"/>
      <c r="H1515" s="2"/>
      <c r="I1515" s="7"/>
      <c r="J1515" s="2"/>
      <c r="K1515" s="7"/>
      <c r="L1515" s="2"/>
      <c r="M1515" s="7"/>
    </row>
    <row r="1516" spans="1:13" ht="12.75">
      <c r="A1516" s="41" t="s">
        <v>51</v>
      </c>
      <c r="B1516" s="46"/>
      <c r="C1516" s="7"/>
      <c r="D1516" s="7"/>
      <c r="E1516" s="7">
        <f t="shared" si="36"/>
        <v>2548.99</v>
      </c>
      <c r="F1516" s="7"/>
      <c r="G1516" s="7"/>
      <c r="H1516" s="2"/>
      <c r="I1516" s="7">
        <f>2548.99</f>
        <v>2548.99</v>
      </c>
      <c r="J1516" s="2"/>
      <c r="K1516" s="7"/>
      <c r="L1516" s="2"/>
      <c r="M1516" s="7"/>
    </row>
    <row r="1517" spans="1:13" ht="12.75">
      <c r="A1517" s="58" t="s">
        <v>52</v>
      </c>
      <c r="B1517" s="46"/>
      <c r="C1517" s="7"/>
      <c r="D1517" s="7"/>
      <c r="E1517" s="7">
        <f t="shared" si="36"/>
        <v>0</v>
      </c>
      <c r="F1517" s="7"/>
      <c r="G1517" s="7"/>
      <c r="H1517" s="2"/>
      <c r="I1517" s="7"/>
      <c r="J1517" s="2"/>
      <c r="K1517" s="7"/>
      <c r="L1517" s="2"/>
      <c r="M1517" s="7"/>
    </row>
    <row r="1518" spans="1:13" ht="12.75">
      <c r="A1518" s="41" t="s">
        <v>80</v>
      </c>
      <c r="B1518" s="46"/>
      <c r="C1518" s="7"/>
      <c r="D1518" s="7"/>
      <c r="E1518" s="7">
        <f t="shared" si="36"/>
        <v>0</v>
      </c>
      <c r="F1518" s="7"/>
      <c r="G1518" s="7"/>
      <c r="H1518" s="2"/>
      <c r="I1518" s="7"/>
      <c r="J1518" s="2"/>
      <c r="K1518" s="7"/>
      <c r="L1518" s="2"/>
      <c r="M1518" s="7"/>
    </row>
    <row r="1519" spans="1:13" ht="12.75">
      <c r="A1519" s="41" t="s">
        <v>65</v>
      </c>
      <c r="B1519" s="46"/>
      <c r="C1519" s="7"/>
      <c r="D1519" s="7"/>
      <c r="E1519" s="7">
        <f t="shared" si="36"/>
        <v>0</v>
      </c>
      <c r="F1519" s="7"/>
      <c r="G1519" s="7"/>
      <c r="H1519" s="2"/>
      <c r="I1519" s="7"/>
      <c r="J1519" s="2"/>
      <c r="K1519" s="7"/>
      <c r="L1519" s="2"/>
      <c r="M1519" s="7"/>
    </row>
    <row r="1520" spans="1:13" ht="12.75">
      <c r="A1520" s="41" t="s">
        <v>57</v>
      </c>
      <c r="B1520" s="46"/>
      <c r="C1520" s="7"/>
      <c r="D1520" s="7"/>
      <c r="E1520" s="7">
        <f t="shared" si="36"/>
        <v>25.651448000000002</v>
      </c>
      <c r="F1520" s="7"/>
      <c r="G1520" s="7"/>
      <c r="H1520" s="2"/>
      <c r="I1520" s="7">
        <f>0.0071*C1479</f>
        <v>25.651448000000002</v>
      </c>
      <c r="J1520" s="2"/>
      <c r="K1520" s="7"/>
      <c r="L1520" s="2"/>
      <c r="M1520" s="7"/>
    </row>
    <row r="1521" spans="1:13" ht="12.75">
      <c r="A1521" s="41" t="s">
        <v>33</v>
      </c>
      <c r="B1521" s="46"/>
      <c r="C1521" s="7"/>
      <c r="D1521" s="7"/>
      <c r="E1521" s="7">
        <f t="shared" si="36"/>
        <v>3795.77</v>
      </c>
      <c r="F1521" s="15"/>
      <c r="G1521" s="7"/>
      <c r="H1521" s="2"/>
      <c r="I1521" s="7"/>
      <c r="J1521" s="2"/>
      <c r="K1521" s="7">
        <v>1871</v>
      </c>
      <c r="L1521" s="2"/>
      <c r="M1521" s="7">
        <v>1924.77</v>
      </c>
    </row>
    <row r="1522" spans="1:13" ht="12.75">
      <c r="A1522" s="41" t="s">
        <v>50</v>
      </c>
      <c r="B1522" s="46"/>
      <c r="C1522" s="7"/>
      <c r="D1522" s="7"/>
      <c r="E1522" s="7">
        <f t="shared" si="36"/>
        <v>3968.3162330000005</v>
      </c>
      <c r="F1522" s="7"/>
      <c r="G1522" s="7">
        <f>0.2455*C1479</f>
        <v>886.96204</v>
      </c>
      <c r="H1522" s="2"/>
      <c r="I1522" s="7">
        <f>0.5802*C1479</f>
        <v>2096.1929760000003</v>
      </c>
      <c r="J1522" s="2"/>
      <c r="K1522" s="7">
        <f>0.1437*K1479</f>
        <v>522.968847</v>
      </c>
      <c r="L1522" s="2"/>
      <c r="M1522" s="7">
        <f>0.127*K1479</f>
        <v>462.19237</v>
      </c>
    </row>
    <row r="1523" spans="1:13" ht="13.5" thickBot="1">
      <c r="A1523" s="48" t="s">
        <v>54</v>
      </c>
      <c r="B1523" s="49"/>
      <c r="C1523" s="50"/>
      <c r="D1523" s="50"/>
      <c r="E1523" s="50">
        <f t="shared" si="36"/>
        <v>111.88459399999999</v>
      </c>
      <c r="F1523" s="50"/>
      <c r="G1523" s="50"/>
      <c r="H1523" s="22"/>
      <c r="I1523" s="50">
        <f>0.0078*C1479</f>
        <v>28.180464</v>
      </c>
      <c r="J1523" s="22"/>
      <c r="K1523" s="50">
        <f>0.011*K1479</f>
        <v>40.03241</v>
      </c>
      <c r="L1523" s="22"/>
      <c r="M1523" s="50">
        <f>0.012*K1479</f>
        <v>43.67172</v>
      </c>
    </row>
    <row r="1524" spans="1:13" ht="13.5" thickBot="1">
      <c r="A1524" s="59" t="s">
        <v>10</v>
      </c>
      <c r="B1524" s="81"/>
      <c r="C1524" s="63"/>
      <c r="D1524" s="63"/>
      <c r="E1524" s="63">
        <f t="shared" si="36"/>
        <v>161650.8492827</v>
      </c>
      <c r="F1524" s="63"/>
      <c r="G1524" s="63">
        <f>SUM(G1503:G1523)</f>
        <v>34566.2417848</v>
      </c>
      <c r="H1524" s="26"/>
      <c r="I1524" s="63">
        <f>SUM(I1503:I1523)</f>
        <v>35063.9111496</v>
      </c>
      <c r="J1524" s="26"/>
      <c r="K1524" s="63">
        <f>SUM(K1503:K1523)</f>
        <v>56054.437230999996</v>
      </c>
      <c r="L1524" s="26"/>
      <c r="M1524" s="29">
        <f>SUM(M1503:M1523)</f>
        <v>35966.2591173</v>
      </c>
    </row>
    <row r="1525" spans="1:13" ht="12.75">
      <c r="A1525" s="60" t="s">
        <v>42</v>
      </c>
      <c r="B1525" s="55"/>
      <c r="C1525" s="66"/>
      <c r="D1525" s="66"/>
      <c r="E1525" s="56">
        <f t="shared" si="36"/>
        <v>0</v>
      </c>
      <c r="F1525" s="66"/>
      <c r="G1525" s="56"/>
      <c r="H1525" s="74"/>
      <c r="I1525" s="56"/>
      <c r="J1525" s="74"/>
      <c r="K1525" s="56"/>
      <c r="L1525" s="74"/>
      <c r="M1525" s="56"/>
    </row>
    <row r="1526" spans="1:13" ht="12.75">
      <c r="A1526" s="41" t="s">
        <v>56</v>
      </c>
      <c r="B1526" s="46"/>
      <c r="C1526" s="7"/>
      <c r="D1526" s="7"/>
      <c r="E1526" s="7">
        <f t="shared" si="36"/>
        <v>0</v>
      </c>
      <c r="F1526" s="7"/>
      <c r="G1526" s="7"/>
      <c r="H1526" s="2"/>
      <c r="I1526" s="7"/>
      <c r="J1526" s="2"/>
      <c r="K1526" s="7"/>
      <c r="L1526" s="2"/>
      <c r="M1526" s="7"/>
    </row>
    <row r="1527" spans="1:13" ht="12.75">
      <c r="A1527" s="41" t="s">
        <v>375</v>
      </c>
      <c r="B1527" s="46"/>
      <c r="C1527" s="7"/>
      <c r="D1527" s="7"/>
      <c r="E1527" s="7">
        <f t="shared" si="36"/>
        <v>267.2</v>
      </c>
      <c r="F1527" s="7"/>
      <c r="G1527" s="7"/>
      <c r="H1527" s="2"/>
      <c r="I1527" s="7"/>
      <c r="J1527" s="2"/>
      <c r="K1527" s="7"/>
      <c r="L1527" s="2"/>
      <c r="M1527" s="7">
        <v>267.2</v>
      </c>
    </row>
    <row r="1528" spans="1:13" ht="12.75">
      <c r="A1528" s="41" t="s">
        <v>421</v>
      </c>
      <c r="B1528" s="46"/>
      <c r="C1528" s="7"/>
      <c r="D1528" s="7"/>
      <c r="E1528" s="7">
        <f t="shared" si="36"/>
        <v>480</v>
      </c>
      <c r="F1528" s="7"/>
      <c r="G1528" s="7"/>
      <c r="H1528" s="2"/>
      <c r="I1528" s="7"/>
      <c r="J1528" s="2"/>
      <c r="K1528" s="7"/>
      <c r="L1528" s="2"/>
      <c r="M1528" s="7">
        <v>480</v>
      </c>
    </row>
    <row r="1529" spans="1:13" ht="12.75">
      <c r="A1529" s="41" t="s">
        <v>156</v>
      </c>
      <c r="B1529" s="46"/>
      <c r="C1529" s="7"/>
      <c r="D1529" s="7"/>
      <c r="E1529" s="7">
        <f t="shared" si="36"/>
        <v>390</v>
      </c>
      <c r="F1529" s="7"/>
      <c r="G1529" s="7">
        <v>390</v>
      </c>
      <c r="H1529" s="2"/>
      <c r="I1529" s="7"/>
      <c r="J1529" s="2"/>
      <c r="K1529" s="7"/>
      <c r="L1529" s="2"/>
      <c r="M1529" s="7"/>
    </row>
    <row r="1530" spans="1:13" ht="13.5" thickBot="1">
      <c r="A1530" s="48" t="s">
        <v>16</v>
      </c>
      <c r="B1530" s="49"/>
      <c r="C1530" s="50"/>
      <c r="D1530" s="50"/>
      <c r="E1530" s="7">
        <f t="shared" si="36"/>
        <v>129.68814</v>
      </c>
      <c r="F1530" s="50"/>
      <c r="G1530" s="50">
        <f>0.0089*C1479</f>
        <v>32.154632</v>
      </c>
      <c r="H1530" s="22"/>
      <c r="I1530" s="50"/>
      <c r="J1530" s="22"/>
      <c r="K1530" s="50"/>
      <c r="L1530" s="22"/>
      <c r="M1530" s="50">
        <f>0.0268*K1479</f>
        <v>97.533508</v>
      </c>
    </row>
    <row r="1531" spans="1:13" ht="13.5" thickBot="1">
      <c r="A1531" s="62" t="s">
        <v>10</v>
      </c>
      <c r="B1531" s="81"/>
      <c r="C1531" s="63"/>
      <c r="D1531" s="63"/>
      <c r="E1531" s="63">
        <f t="shared" si="36"/>
        <v>1266.88814</v>
      </c>
      <c r="F1531" s="63"/>
      <c r="G1531" s="63">
        <f>SUM(G1526:G1530)</f>
        <v>422.154632</v>
      </c>
      <c r="H1531" s="26"/>
      <c r="I1531" s="63"/>
      <c r="J1531" s="26"/>
      <c r="K1531" s="63"/>
      <c r="L1531" s="26"/>
      <c r="M1531" s="29">
        <f>SUM(M1526:M1530)</f>
        <v>844.733508</v>
      </c>
    </row>
    <row r="1532" spans="1:13" ht="13.5" thickBot="1">
      <c r="A1532" s="64" t="s">
        <v>29</v>
      </c>
      <c r="B1532" s="81"/>
      <c r="C1532" s="63"/>
      <c r="D1532" s="63"/>
      <c r="E1532" s="63">
        <f t="shared" si="36"/>
        <v>8316.868935999999</v>
      </c>
      <c r="F1532" s="63"/>
      <c r="G1532" s="63">
        <f>0.4236*C1479</f>
        <v>1530.415968</v>
      </c>
      <c r="H1532" s="26"/>
      <c r="I1532" s="63">
        <f>0.5971*C1479</f>
        <v>2157.2506479999997</v>
      </c>
      <c r="J1532" s="26"/>
      <c r="K1532" s="63"/>
      <c r="L1532" s="26"/>
      <c r="M1532" s="29">
        <f>1.272*K1479</f>
        <v>4629.20232</v>
      </c>
    </row>
    <row r="1533" spans="1:13" ht="21.75">
      <c r="A1533" s="65" t="s">
        <v>83</v>
      </c>
      <c r="B1533" s="61"/>
      <c r="C1533" s="56"/>
      <c r="D1533" s="56"/>
      <c r="E1533" s="56">
        <f t="shared" si="36"/>
        <v>429879.4806306</v>
      </c>
      <c r="F1533" s="56"/>
      <c r="G1533" s="56">
        <f>G1501+G1524+G1531+G1532</f>
        <v>97959.5304544</v>
      </c>
      <c r="H1533" s="74"/>
      <c r="I1533" s="56">
        <f>I1501+I1524+I1531+I1532</f>
        <v>109382.9154504</v>
      </c>
      <c r="J1533" s="74"/>
      <c r="K1533" s="56">
        <f>K1501+K1524+K1531+K1532</f>
        <v>120528.9131528</v>
      </c>
      <c r="L1533" s="74"/>
      <c r="M1533" s="56">
        <f>M1501+M1524+M1531+M1532</f>
        <v>102008.121573</v>
      </c>
    </row>
    <row r="1534" spans="1:13" ht="33.75">
      <c r="A1534" s="67" t="s">
        <v>84</v>
      </c>
      <c r="B1534" s="46"/>
      <c r="C1534" s="7"/>
      <c r="D1534" s="7"/>
      <c r="E1534" s="8">
        <f>E1533/12/C1479</f>
        <v>9.915438667365093</v>
      </c>
      <c r="F1534" s="7"/>
      <c r="G1534" s="8">
        <f>G1533/3/C1479</f>
        <v>9.037990970675287</v>
      </c>
      <c r="H1534" s="2"/>
      <c r="I1534" s="8">
        <f>I1533/3/C1479</f>
        <v>10.091941004627888</v>
      </c>
      <c r="J1534" s="2"/>
      <c r="K1534" s="8">
        <f>K1533/3/K1479</f>
        <v>11.039538919264</v>
      </c>
      <c r="L1534" s="2"/>
      <c r="M1534" s="8">
        <f>M1533/3/K1479</f>
        <v>9.343174170653228</v>
      </c>
    </row>
    <row r="1535" spans="1:13" ht="12.75">
      <c r="A1535" s="69" t="s">
        <v>20</v>
      </c>
      <c r="B1535" s="44"/>
      <c r="C1535" s="45"/>
      <c r="D1535" s="45"/>
      <c r="E1535" s="45">
        <f>E1484-E1533</f>
        <v>830.1493693999946</v>
      </c>
      <c r="F1535" s="45"/>
      <c r="G1535" s="7">
        <f>G1484-G1533</f>
        <v>7192.159545600007</v>
      </c>
      <c r="H1535" s="2"/>
      <c r="I1535" s="7">
        <f>I1484-I1533+G1535</f>
        <v>9909.644095199998</v>
      </c>
      <c r="J1535" s="2"/>
      <c r="K1535" s="7">
        <f>K1484-K1533+I1535</f>
        <v>-5853.229057600009</v>
      </c>
      <c r="L1535" s="2"/>
      <c r="M1535" s="7">
        <f>M1484-M1533-5853</f>
        <v>830.3784270000033</v>
      </c>
    </row>
    <row r="1536" spans="1:13" ht="12.75">
      <c r="A1536" s="14" t="s">
        <v>24</v>
      </c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</row>
    <row r="1537" spans="1:13" ht="12.75">
      <c r="A1537" s="14" t="s">
        <v>35</v>
      </c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</row>
    <row r="1538" spans="1:13" ht="12.75">
      <c r="A1538" s="14" t="s">
        <v>25</v>
      </c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</row>
    <row r="1539" spans="1:13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</row>
    <row r="1540" spans="1:13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</row>
    <row r="1541" spans="1:13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</row>
    <row r="1542" spans="1:13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</row>
    <row r="1543" spans="1:13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</row>
    <row r="1544" spans="1:13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</row>
    <row r="1545" spans="1:13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</row>
    <row r="1546" spans="1:13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</row>
    <row r="1547" spans="1:13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</row>
    <row r="1548" spans="1:13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</row>
    <row r="1549" spans="1:13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</row>
    <row r="1550" spans="1:13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</row>
    <row r="1551" spans="1:13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</row>
    <row r="1552" spans="1:13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</row>
    <row r="1553" spans="1:13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</row>
    <row r="1554" spans="1:13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</row>
    <row r="1555" spans="1:13" ht="0.75" customHeight="1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</row>
    <row r="1556" spans="1:13" ht="12.75" hidden="1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</row>
    <row r="1557" spans="1:13" ht="1.5" customHeight="1" hidden="1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</row>
    <row r="1558" spans="1:13" ht="12.75" hidden="1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</row>
    <row r="1559" spans="1:13" ht="12.75" hidden="1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</row>
    <row r="1560" spans="1:13" ht="12.75" hidden="1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</row>
    <row r="1561" spans="1:13" ht="12.75" hidden="1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</row>
    <row r="1562" spans="1:13" ht="12.75">
      <c r="A1562" s="31" t="s">
        <v>21</v>
      </c>
      <c r="B1562" s="31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</row>
    <row r="1563" spans="1:13" ht="12.75">
      <c r="A1563" s="14" t="s">
        <v>31</v>
      </c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</row>
    <row r="1564" spans="1:13" ht="12.75">
      <c r="A1564" s="14" t="s">
        <v>41</v>
      </c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</row>
    <row r="1565" spans="1:13" ht="12.75">
      <c r="A1565" s="14" t="s">
        <v>117</v>
      </c>
      <c r="B1565" s="14"/>
      <c r="C1565" s="14"/>
      <c r="D1565" s="14"/>
      <c r="E1565" s="14" t="s">
        <v>32</v>
      </c>
      <c r="F1565" s="14"/>
      <c r="G1565" s="14"/>
      <c r="H1565" s="14"/>
      <c r="I1565" s="14"/>
      <c r="J1565" s="14"/>
      <c r="K1565" s="14"/>
      <c r="L1565" s="14"/>
      <c r="M1565" s="14"/>
    </row>
    <row r="1566" spans="1:13" ht="12.75" customHeight="1">
      <c r="A1566" s="6" t="s">
        <v>0</v>
      </c>
      <c r="B1566" s="151" t="s">
        <v>38</v>
      </c>
      <c r="C1566" s="152"/>
      <c r="D1566" s="149" t="s">
        <v>39</v>
      </c>
      <c r="E1566" s="150"/>
      <c r="F1566" s="149" t="s">
        <v>96</v>
      </c>
      <c r="G1566" s="150"/>
      <c r="H1566" s="149" t="s">
        <v>97</v>
      </c>
      <c r="I1566" s="150"/>
      <c r="J1566" s="149" t="s">
        <v>98</v>
      </c>
      <c r="K1566" s="150"/>
      <c r="L1566" s="149" t="s">
        <v>99</v>
      </c>
      <c r="M1566" s="150"/>
    </row>
    <row r="1567" spans="1:13" ht="12.75">
      <c r="A1567" s="11" t="s">
        <v>5</v>
      </c>
      <c r="B1567" s="153"/>
      <c r="C1567" s="154"/>
      <c r="D1567" s="6" t="s">
        <v>40</v>
      </c>
      <c r="E1567" s="6" t="s">
        <v>22</v>
      </c>
      <c r="F1567" s="6" t="s">
        <v>40</v>
      </c>
      <c r="G1567" s="13" t="s">
        <v>22</v>
      </c>
      <c r="H1567" s="2"/>
      <c r="I1567" s="2"/>
      <c r="J1567" s="2"/>
      <c r="K1567" s="2"/>
      <c r="L1567" s="2"/>
      <c r="M1567" s="2"/>
    </row>
    <row r="1568" spans="1:13" ht="12.75">
      <c r="A1568" s="2" t="s">
        <v>1</v>
      </c>
      <c r="B1568" s="2"/>
      <c r="C1568" s="6">
        <v>5</v>
      </c>
      <c r="D1568" s="2"/>
      <c r="E1568" s="2"/>
      <c r="F1568" s="2"/>
      <c r="G1568" s="2"/>
      <c r="H1568" s="2"/>
      <c r="I1568" s="2"/>
      <c r="J1568" s="2"/>
      <c r="K1568" s="2"/>
      <c r="L1568" s="2"/>
      <c r="M1568" s="2"/>
    </row>
    <row r="1569" spans="1:13" ht="12.75">
      <c r="A1569" s="2" t="s">
        <v>2</v>
      </c>
      <c r="B1569" s="2"/>
      <c r="C1569" s="6">
        <v>6</v>
      </c>
      <c r="D1569" s="2"/>
      <c r="E1569" s="2"/>
      <c r="F1569" s="2"/>
      <c r="G1569" s="2"/>
      <c r="H1569" s="2"/>
      <c r="I1569" s="2"/>
      <c r="J1569" s="2"/>
      <c r="K1569" s="2"/>
      <c r="L1569" s="2"/>
      <c r="M1569" s="2"/>
    </row>
    <row r="1570" spans="1:13" ht="12.75">
      <c r="A1570" s="2" t="s">
        <v>3</v>
      </c>
      <c r="B1570" s="2"/>
      <c r="C1570" s="6">
        <v>60</v>
      </c>
      <c r="D1570" s="2"/>
      <c r="E1570" s="2"/>
      <c r="F1570" s="2"/>
      <c r="G1570" s="2"/>
      <c r="H1570" s="2"/>
      <c r="I1570" s="2"/>
      <c r="J1570" s="2"/>
      <c r="K1570" s="2"/>
      <c r="L1570" s="2"/>
      <c r="M1570" s="2"/>
    </row>
    <row r="1571" spans="1:13" ht="12.75">
      <c r="A1571" s="2" t="s">
        <v>4</v>
      </c>
      <c r="B1571" s="6"/>
      <c r="C1571" s="6">
        <v>3608.24</v>
      </c>
      <c r="D1571" s="6"/>
      <c r="E1571" s="6"/>
      <c r="F1571" s="6"/>
      <c r="G1571" s="2"/>
      <c r="H1571" s="2"/>
      <c r="I1571" s="2"/>
      <c r="J1571" s="2"/>
      <c r="K1571" s="2">
        <v>3612.72</v>
      </c>
      <c r="L1571" s="2"/>
      <c r="M1571" s="2"/>
    </row>
    <row r="1572" spans="1:13" ht="21.75">
      <c r="A1572" s="35" t="s">
        <v>6</v>
      </c>
      <c r="B1572" s="11" t="s">
        <v>40</v>
      </c>
      <c r="C1572" s="2" t="s">
        <v>22</v>
      </c>
      <c r="D1572" s="2"/>
      <c r="E1572" s="2"/>
      <c r="F1572" s="2"/>
      <c r="G1572" s="2"/>
      <c r="H1572" s="2"/>
      <c r="I1572" s="2"/>
      <c r="J1572" s="2"/>
      <c r="K1572" s="2"/>
      <c r="L1572" s="2"/>
      <c r="M1572" s="2"/>
    </row>
    <row r="1573" spans="1:13" ht="22.5">
      <c r="A1573" s="40" t="s">
        <v>7</v>
      </c>
      <c r="B1573" s="3"/>
      <c r="C1573" s="6"/>
      <c r="D1573" s="6"/>
      <c r="E1573" s="6">
        <f>G1573+I1573+K1573+M1573</f>
        <v>442788.87</v>
      </c>
      <c r="F1573" s="2"/>
      <c r="G1573" s="2">
        <v>103943.18</v>
      </c>
      <c r="H1573" s="2"/>
      <c r="I1573" s="2">
        <v>110193.47</v>
      </c>
      <c r="J1573" s="2"/>
      <c r="K1573" s="2">
        <v>111856.16</v>
      </c>
      <c r="L1573" s="2"/>
      <c r="M1573" s="2">
        <v>116796.06</v>
      </c>
    </row>
    <row r="1574" spans="1:13" ht="12.75">
      <c r="A1574" s="41" t="s">
        <v>8</v>
      </c>
      <c r="B1574" s="3"/>
      <c r="C1574" s="6"/>
      <c r="D1574" s="6"/>
      <c r="E1574" s="6"/>
      <c r="F1574" s="2"/>
      <c r="G1574" s="2"/>
      <c r="H1574" s="2"/>
      <c r="I1574" s="2"/>
      <c r="J1574" s="2"/>
      <c r="K1574" s="2"/>
      <c r="L1574" s="2"/>
      <c r="M1574" s="2"/>
    </row>
    <row r="1575" spans="1:13" ht="12.75">
      <c r="A1575" s="41" t="s">
        <v>9</v>
      </c>
      <c r="B1575" s="3"/>
      <c r="C1575" s="6"/>
      <c r="D1575" s="6"/>
      <c r="E1575" s="6"/>
      <c r="F1575" s="2"/>
      <c r="G1575" s="2"/>
      <c r="H1575" s="2"/>
      <c r="I1575" s="2"/>
      <c r="J1575" s="2"/>
      <c r="K1575" s="2"/>
      <c r="L1575" s="2"/>
      <c r="M1575" s="2"/>
    </row>
    <row r="1576" spans="1:13" ht="12.75">
      <c r="A1576" s="2" t="s">
        <v>10</v>
      </c>
      <c r="B1576" s="42"/>
      <c r="C1576" s="11"/>
      <c r="D1576" s="11"/>
      <c r="E1576" s="11">
        <f>SUM(E1573:E1575)</f>
        <v>442788.87</v>
      </c>
      <c r="F1576" s="37"/>
      <c r="G1576" s="37">
        <f>SUM(G1573:G1575)</f>
        <v>103943.18</v>
      </c>
      <c r="H1576" s="2"/>
      <c r="I1576" s="2">
        <f>SUM(I1573:I1575)</f>
        <v>110193.47</v>
      </c>
      <c r="J1576" s="2"/>
      <c r="K1576" s="2">
        <f>SUM(K1573:K1575)</f>
        <v>111856.16</v>
      </c>
      <c r="L1576" s="2"/>
      <c r="M1576" s="2">
        <f>SUM(M1573:M1575)</f>
        <v>116796.06</v>
      </c>
    </row>
    <row r="1577" spans="1:13" ht="21.75">
      <c r="A1577" s="35" t="s">
        <v>82</v>
      </c>
      <c r="B1577" s="4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</row>
    <row r="1578" spans="1:13" ht="12.75">
      <c r="A1578" s="43" t="s">
        <v>11</v>
      </c>
      <c r="B1578" s="44"/>
      <c r="C1578" s="45"/>
      <c r="D1578" s="45"/>
      <c r="E1578" s="45">
        <f>G1578+I1578+K1578+M1578</f>
        <v>117768.5689648</v>
      </c>
      <c r="F1578" s="45"/>
      <c r="G1578" s="45">
        <f>7.99407*C1571</f>
        <v>28844.5231368</v>
      </c>
      <c r="H1578" s="2"/>
      <c r="I1578" s="7">
        <f>9.57707*C1571</f>
        <v>34556.3670568</v>
      </c>
      <c r="J1578" s="2"/>
      <c r="K1578" s="7">
        <f>7.32829*K1571</f>
        <v>26475.0598488</v>
      </c>
      <c r="L1578" s="2"/>
      <c r="M1578" s="7">
        <f>7.72067*K1571</f>
        <v>27892.618922399997</v>
      </c>
    </row>
    <row r="1579" spans="1:13" ht="12.75">
      <c r="A1579" s="43" t="s">
        <v>12</v>
      </c>
      <c r="B1579" s="46"/>
      <c r="C1579" s="7"/>
      <c r="D1579" s="7"/>
      <c r="E1579" s="7">
        <f aca="true" t="shared" si="37" ref="E1579:E1627">G1579+I1579+K1579+M1579</f>
        <v>0</v>
      </c>
      <c r="F1579" s="7"/>
      <c r="G1579" s="7"/>
      <c r="H1579" s="2"/>
      <c r="I1579" s="7"/>
      <c r="J1579" s="2"/>
      <c r="K1579" s="7"/>
      <c r="L1579" s="2"/>
      <c r="M1579" s="7"/>
    </row>
    <row r="1580" spans="1:13" ht="12.75">
      <c r="A1580" s="41" t="s">
        <v>13</v>
      </c>
      <c r="B1580" s="46"/>
      <c r="C1580" s="7"/>
      <c r="D1580" s="7"/>
      <c r="E1580" s="7">
        <f t="shared" si="37"/>
        <v>138566.5946712</v>
      </c>
      <c r="F1580" s="7"/>
      <c r="G1580" s="7">
        <f>G1581+G1583+G1584+G1585+G1586+G1587+G1588+G1589+G1590+G1591+G1592</f>
        <v>34709.3437208</v>
      </c>
      <c r="H1580" s="2"/>
      <c r="I1580" s="7">
        <f>I1581+I1583+I1584+I1585+I1586+I1587+I1588+I1589+I1590+I1591+I1592</f>
        <v>35278.6996776</v>
      </c>
      <c r="J1580" s="2"/>
      <c r="K1580" s="7">
        <f>K1581+K1583+K1584+K1585+K1586+K1587+K1588+K1589+K1590+K1591+K1592</f>
        <v>39292.1211928</v>
      </c>
      <c r="L1580" s="2"/>
      <c r="M1580" s="7">
        <f>M1581+M1583+M1584+M1585+M1586+M1587+M1588+M1589+M1590+M1591+M1592</f>
        <v>29286.430080000002</v>
      </c>
    </row>
    <row r="1581" spans="1:13" ht="12.75">
      <c r="A1581" s="47" t="s">
        <v>14</v>
      </c>
      <c r="B1581" s="46"/>
      <c r="C1581" s="71"/>
      <c r="D1581" s="7"/>
      <c r="E1581" s="7">
        <f t="shared" si="37"/>
        <v>122732</v>
      </c>
      <c r="F1581" s="7"/>
      <c r="G1581" s="7">
        <v>31761</v>
      </c>
      <c r="H1581" s="2"/>
      <c r="I1581" s="7">
        <v>30694</v>
      </c>
      <c r="J1581" s="2"/>
      <c r="K1581" s="7">
        <v>32288</v>
      </c>
      <c r="L1581" s="2"/>
      <c r="M1581" s="7">
        <v>27989</v>
      </c>
    </row>
    <row r="1582" spans="1:13" ht="12.75">
      <c r="A1582" s="41" t="s">
        <v>19</v>
      </c>
      <c r="B1582" s="46"/>
      <c r="C1582" s="71"/>
      <c r="D1582" s="7"/>
      <c r="E1582" s="7">
        <f t="shared" si="37"/>
        <v>78880</v>
      </c>
      <c r="F1582" s="7"/>
      <c r="G1582" s="7">
        <v>19730</v>
      </c>
      <c r="H1582" s="2"/>
      <c r="I1582" s="7">
        <v>19730</v>
      </c>
      <c r="J1582" s="2"/>
      <c r="K1582" s="7">
        <v>19710</v>
      </c>
      <c r="L1582" s="2"/>
      <c r="M1582" s="7">
        <v>19710</v>
      </c>
    </row>
    <row r="1583" spans="1:13" ht="12.75">
      <c r="A1583" s="41" t="s">
        <v>18</v>
      </c>
      <c r="B1583" s="46"/>
      <c r="C1583" s="7"/>
      <c r="D1583" s="7"/>
      <c r="E1583" s="7">
        <f t="shared" si="37"/>
        <v>1340.83</v>
      </c>
      <c r="F1583" s="7"/>
      <c r="G1583" s="7">
        <v>210.25</v>
      </c>
      <c r="H1583" s="2"/>
      <c r="I1583" s="7">
        <v>295.9</v>
      </c>
      <c r="J1583" s="2"/>
      <c r="K1583" s="7">
        <v>400.69</v>
      </c>
      <c r="L1583" s="2"/>
      <c r="M1583" s="7">
        <v>433.99</v>
      </c>
    </row>
    <row r="1584" spans="1:13" ht="12.75">
      <c r="A1584" s="41" t="s">
        <v>53</v>
      </c>
      <c r="B1584" s="46"/>
      <c r="C1584" s="7"/>
      <c r="D1584" s="7"/>
      <c r="E1584" s="7">
        <f t="shared" si="37"/>
        <v>6946.2197272</v>
      </c>
      <c r="F1584" s="7"/>
      <c r="G1584" s="7">
        <f>0.54857*C1571</f>
        <v>1979.3722168</v>
      </c>
      <c r="H1584" s="2"/>
      <c r="I1584" s="7">
        <f>0.53049*C1571</f>
        <v>1914.1352376</v>
      </c>
      <c r="J1584" s="2"/>
      <c r="K1584" s="7">
        <f>0.60599*K1571</f>
        <v>2189.2721928</v>
      </c>
      <c r="L1584" s="2"/>
      <c r="M1584" s="7">
        <f>0.239*K1571</f>
        <v>863.44008</v>
      </c>
    </row>
    <row r="1585" spans="1:13" ht="12.75">
      <c r="A1585" s="41" t="s">
        <v>148</v>
      </c>
      <c r="B1585" s="46"/>
      <c r="C1585" s="7"/>
      <c r="D1585" s="7"/>
      <c r="E1585" s="7">
        <f t="shared" si="37"/>
        <v>1615.5</v>
      </c>
      <c r="F1585" s="7"/>
      <c r="G1585" s="7">
        <v>688</v>
      </c>
      <c r="H1585" s="2"/>
      <c r="I1585" s="7">
        <v>377.5</v>
      </c>
      <c r="J1585" s="2"/>
      <c r="K1585" s="7">
        <v>550</v>
      </c>
      <c r="L1585" s="2"/>
      <c r="M1585" s="7"/>
    </row>
    <row r="1586" spans="1:13" ht="12.75">
      <c r="A1586" s="41" t="s">
        <v>27</v>
      </c>
      <c r="B1586" s="46"/>
      <c r="C1586" s="7"/>
      <c r="D1586" s="7"/>
      <c r="E1586" s="7">
        <f t="shared" si="37"/>
        <v>1750</v>
      </c>
      <c r="F1586" s="7"/>
      <c r="G1586" s="7"/>
      <c r="H1586" s="2"/>
      <c r="I1586" s="7">
        <v>1750</v>
      </c>
      <c r="J1586" s="2"/>
      <c r="K1586" s="7"/>
      <c r="L1586" s="2"/>
      <c r="M1586" s="7"/>
    </row>
    <row r="1587" spans="1:13" ht="12.75">
      <c r="A1587" s="41" t="s">
        <v>36</v>
      </c>
      <c r="B1587" s="46"/>
      <c r="C1587" s="7"/>
      <c r="D1587" s="7"/>
      <c r="E1587" s="7">
        <f t="shared" si="37"/>
        <v>3819</v>
      </c>
      <c r="F1587" s="7"/>
      <c r="G1587" s="7"/>
      <c r="H1587" s="2"/>
      <c r="I1587" s="7"/>
      <c r="J1587" s="2" t="s">
        <v>322</v>
      </c>
      <c r="K1587" s="7">
        <v>3819</v>
      </c>
      <c r="L1587" s="2"/>
      <c r="M1587" s="7"/>
    </row>
    <row r="1588" spans="1:13" ht="12.75">
      <c r="A1588" s="41" t="s">
        <v>58</v>
      </c>
      <c r="B1588" s="46"/>
      <c r="C1588" s="7"/>
      <c r="D1588" s="7"/>
      <c r="E1588" s="7">
        <f t="shared" si="37"/>
        <v>0</v>
      </c>
      <c r="F1588" s="7"/>
      <c r="G1588" s="7"/>
      <c r="H1588" s="2"/>
      <c r="I1588" s="7"/>
      <c r="J1588" s="2"/>
      <c r="K1588" s="7"/>
      <c r="L1588" s="2"/>
      <c r="M1588" s="7"/>
    </row>
    <row r="1589" spans="1:13" ht="12.75">
      <c r="A1589" s="41" t="s">
        <v>43</v>
      </c>
      <c r="B1589" s="46"/>
      <c r="C1589" s="7"/>
      <c r="D1589" s="7"/>
      <c r="E1589" s="7">
        <f t="shared" si="37"/>
        <v>0</v>
      </c>
      <c r="F1589" s="7"/>
      <c r="G1589" s="7"/>
      <c r="H1589" s="2"/>
      <c r="I1589" s="7"/>
      <c r="J1589" s="2"/>
      <c r="K1589" s="7"/>
      <c r="L1589" s="2"/>
      <c r="M1589" s="7"/>
    </row>
    <row r="1590" spans="1:13" ht="12.75">
      <c r="A1590" s="41" t="s">
        <v>30</v>
      </c>
      <c r="B1590" s="46"/>
      <c r="C1590" s="7"/>
      <c r="D1590" s="7"/>
      <c r="E1590" s="7">
        <f t="shared" si="37"/>
        <v>0</v>
      </c>
      <c r="F1590" s="7"/>
      <c r="G1590" s="7"/>
      <c r="H1590" s="2"/>
      <c r="I1590" s="7"/>
      <c r="J1590" s="2"/>
      <c r="K1590" s="7"/>
      <c r="L1590" s="2"/>
      <c r="M1590" s="7"/>
    </row>
    <row r="1591" spans="1:13" ht="12.75">
      <c r="A1591" s="41" t="s">
        <v>54</v>
      </c>
      <c r="B1591" s="46"/>
      <c r="C1591" s="7"/>
      <c r="D1591" s="7"/>
      <c r="E1591" s="7">
        <f t="shared" si="37"/>
        <v>70.721504</v>
      </c>
      <c r="F1591" s="7"/>
      <c r="G1591" s="7">
        <f>0.0196*C1571</f>
        <v>70.721504</v>
      </c>
      <c r="H1591" s="2"/>
      <c r="I1591" s="7"/>
      <c r="J1591" s="2"/>
      <c r="K1591" s="7"/>
      <c r="L1591" s="2"/>
      <c r="M1591" s="7"/>
    </row>
    <row r="1592" spans="1:13" ht="13.5" thickBot="1">
      <c r="A1592" s="48" t="s">
        <v>55</v>
      </c>
      <c r="B1592" s="49"/>
      <c r="C1592" s="50"/>
      <c r="D1592" s="50"/>
      <c r="E1592" s="50">
        <f t="shared" si="37"/>
        <v>292.32344</v>
      </c>
      <c r="F1592" s="50"/>
      <c r="G1592" s="50"/>
      <c r="H1592" s="22"/>
      <c r="I1592" s="50">
        <f>0.0685*C1571</f>
        <v>247.16444</v>
      </c>
      <c r="J1592" s="22"/>
      <c r="K1592" s="50">
        <f>0.0125*K1571</f>
        <v>45.159</v>
      </c>
      <c r="L1592" s="22"/>
      <c r="M1592" s="50"/>
    </row>
    <row r="1593" spans="1:13" ht="13.5" thickBot="1">
      <c r="A1593" s="106" t="s">
        <v>76</v>
      </c>
      <c r="B1593" s="81"/>
      <c r="C1593" s="63"/>
      <c r="D1593" s="63"/>
      <c r="E1593" s="63">
        <f t="shared" si="37"/>
        <v>256335.163636</v>
      </c>
      <c r="F1593" s="63"/>
      <c r="G1593" s="63">
        <f>G1578+G1580</f>
        <v>63553.866857600005</v>
      </c>
      <c r="H1593" s="26"/>
      <c r="I1593" s="63">
        <f>I1578+I1580</f>
        <v>69835.0667344</v>
      </c>
      <c r="J1593" s="26"/>
      <c r="K1593" s="63">
        <f>K1578+K1580</f>
        <v>65767.1810416</v>
      </c>
      <c r="L1593" s="26"/>
      <c r="M1593" s="29">
        <f>M1578+M1580</f>
        <v>57179.0490024</v>
      </c>
    </row>
    <row r="1594" spans="1:13" ht="21.75">
      <c r="A1594" s="54" t="s">
        <v>15</v>
      </c>
      <c r="B1594" s="55"/>
      <c r="C1594" s="66"/>
      <c r="D1594" s="66"/>
      <c r="E1594" s="56">
        <f t="shared" si="37"/>
        <v>0</v>
      </c>
      <c r="F1594" s="66"/>
      <c r="G1594" s="56"/>
      <c r="H1594" s="74"/>
      <c r="I1594" s="56"/>
      <c r="J1594" s="74"/>
      <c r="K1594" s="56"/>
      <c r="L1594" s="74"/>
      <c r="M1594" s="56"/>
    </row>
    <row r="1595" spans="1:13" ht="12.75">
      <c r="A1595" s="41" t="s">
        <v>17</v>
      </c>
      <c r="B1595" s="46"/>
      <c r="C1595" s="7"/>
      <c r="D1595" s="7"/>
      <c r="E1595" s="7">
        <f t="shared" si="37"/>
        <v>102075.4259528</v>
      </c>
      <c r="F1595" s="7"/>
      <c r="G1595" s="7">
        <f>6.73321*C1571</f>
        <v>24295.037650399998</v>
      </c>
      <c r="H1595" s="2"/>
      <c r="I1595" s="7">
        <f>7.02207*C1571</f>
        <v>25337.3138568</v>
      </c>
      <c r="J1595" s="2"/>
      <c r="K1595" s="7">
        <f>7.2754*K1571</f>
        <v>26283.983088</v>
      </c>
      <c r="L1595" s="2"/>
      <c r="M1595" s="7">
        <f>7.24083*K1571</f>
        <v>26159.0913576</v>
      </c>
    </row>
    <row r="1596" spans="1:13" ht="12.75">
      <c r="A1596" s="41" t="s">
        <v>34</v>
      </c>
      <c r="B1596" s="46"/>
      <c r="C1596" s="71"/>
      <c r="D1596" s="7"/>
      <c r="E1596" s="7">
        <f t="shared" si="37"/>
        <v>0</v>
      </c>
      <c r="F1596" s="7"/>
      <c r="G1596" s="7"/>
      <c r="H1596" s="2"/>
      <c r="I1596" s="7"/>
      <c r="J1596" s="2"/>
      <c r="K1596" s="7"/>
      <c r="L1596" s="2"/>
      <c r="M1596" s="7"/>
    </row>
    <row r="1597" spans="1:13" ht="12.75">
      <c r="A1597" s="41" t="s">
        <v>67</v>
      </c>
      <c r="B1597" s="46"/>
      <c r="C1597" s="7"/>
      <c r="D1597" s="7"/>
      <c r="E1597" s="7">
        <f t="shared" si="37"/>
        <v>21216.5</v>
      </c>
      <c r="F1597" s="7"/>
      <c r="G1597" s="7">
        <v>10391</v>
      </c>
      <c r="H1597" s="2"/>
      <c r="I1597" s="7">
        <v>4223</v>
      </c>
      <c r="J1597" s="2"/>
      <c r="K1597" s="7">
        <v>6170</v>
      </c>
      <c r="L1597" s="2"/>
      <c r="M1597" s="7">
        <v>432.5</v>
      </c>
    </row>
    <row r="1598" spans="1:13" ht="12.75">
      <c r="A1598" s="41" t="s">
        <v>68</v>
      </c>
      <c r="B1598" s="46"/>
      <c r="C1598" s="7"/>
      <c r="D1598" s="7"/>
      <c r="E1598" s="7">
        <f t="shared" si="37"/>
        <v>423.5</v>
      </c>
      <c r="F1598" s="7"/>
      <c r="G1598" s="7"/>
      <c r="H1598" s="2"/>
      <c r="I1598" s="7">
        <v>423.5</v>
      </c>
      <c r="J1598" s="2"/>
      <c r="K1598" s="7"/>
      <c r="L1598" s="2"/>
      <c r="M1598" s="7"/>
    </row>
    <row r="1599" spans="1:13" ht="12.75">
      <c r="A1599" s="41" t="s">
        <v>69</v>
      </c>
      <c r="B1599" s="46"/>
      <c r="C1599" s="7"/>
      <c r="D1599" s="7"/>
      <c r="E1599" s="7">
        <f t="shared" si="37"/>
        <v>400</v>
      </c>
      <c r="F1599" s="7"/>
      <c r="G1599" s="7">
        <v>400</v>
      </c>
      <c r="H1599" s="2"/>
      <c r="I1599" s="7"/>
      <c r="J1599" s="2"/>
      <c r="K1599" s="7"/>
      <c r="L1599" s="2"/>
      <c r="M1599" s="7"/>
    </row>
    <row r="1600" spans="1:13" ht="12.75">
      <c r="A1600" s="41" t="s">
        <v>26</v>
      </c>
      <c r="B1600" s="46"/>
      <c r="C1600" s="7"/>
      <c r="D1600" s="7"/>
      <c r="E1600" s="7">
        <f t="shared" si="37"/>
        <v>4880</v>
      </c>
      <c r="F1600" s="7"/>
      <c r="G1600" s="7"/>
      <c r="H1600" s="2"/>
      <c r="I1600" s="7">
        <v>3670</v>
      </c>
      <c r="J1600" s="2"/>
      <c r="K1600" s="7">
        <v>1000</v>
      </c>
      <c r="L1600" s="2"/>
      <c r="M1600" s="7">
        <v>210</v>
      </c>
    </row>
    <row r="1601" spans="1:13" ht="12.75">
      <c r="A1601" s="41" t="s">
        <v>28</v>
      </c>
      <c r="B1601" s="46"/>
      <c r="C1601" s="7"/>
      <c r="D1601" s="7"/>
      <c r="E1601" s="7">
        <f t="shared" si="37"/>
        <v>1825.5</v>
      </c>
      <c r="F1601" s="7"/>
      <c r="G1601" s="7">
        <v>732</v>
      </c>
      <c r="H1601" s="2"/>
      <c r="I1601" s="7"/>
      <c r="J1601" s="2"/>
      <c r="K1601" s="7">
        <v>256</v>
      </c>
      <c r="L1601" s="2"/>
      <c r="M1601" s="7">
        <v>837.5</v>
      </c>
    </row>
    <row r="1602" spans="1:13" ht="12.75">
      <c r="A1602" s="41" t="s">
        <v>320</v>
      </c>
      <c r="B1602" s="46"/>
      <c r="C1602" s="7"/>
      <c r="D1602" s="7"/>
      <c r="E1602" s="7"/>
      <c r="F1602" s="7"/>
      <c r="G1602" s="7"/>
      <c r="H1602" s="2"/>
      <c r="I1602" s="7"/>
      <c r="J1602" s="2"/>
      <c r="K1602" s="7">
        <v>3187.5</v>
      </c>
      <c r="L1602" s="2"/>
      <c r="M1602" s="7"/>
    </row>
    <row r="1603" spans="1:13" ht="12.75">
      <c r="A1603" s="41" t="s">
        <v>60</v>
      </c>
      <c r="B1603" s="46"/>
      <c r="C1603" s="7"/>
      <c r="D1603" s="7"/>
      <c r="E1603" s="7">
        <f t="shared" si="37"/>
        <v>0</v>
      </c>
      <c r="F1603" s="7"/>
      <c r="G1603" s="7"/>
      <c r="H1603" s="2"/>
      <c r="I1603" s="7"/>
      <c r="J1603" s="2"/>
      <c r="K1603" s="7"/>
      <c r="L1603" s="2"/>
      <c r="M1603" s="7"/>
    </row>
    <row r="1604" spans="1:13" ht="12.75">
      <c r="A1604" s="41" t="s">
        <v>150</v>
      </c>
      <c r="B1604" s="46"/>
      <c r="C1604" s="7"/>
      <c r="D1604" s="7"/>
      <c r="E1604" s="7">
        <f t="shared" si="37"/>
        <v>47.5</v>
      </c>
      <c r="F1604" s="7"/>
      <c r="G1604" s="7"/>
      <c r="H1604" s="2"/>
      <c r="I1604" s="7">
        <v>47.5</v>
      </c>
      <c r="J1604" s="2"/>
      <c r="K1604" s="7"/>
      <c r="L1604" s="2"/>
      <c r="M1604" s="7"/>
    </row>
    <row r="1605" spans="1:13" ht="12.75">
      <c r="A1605" s="41" t="s">
        <v>321</v>
      </c>
      <c r="B1605" s="46"/>
      <c r="C1605" s="7"/>
      <c r="D1605" s="7"/>
      <c r="E1605" s="7">
        <f t="shared" si="37"/>
        <v>33477</v>
      </c>
      <c r="F1605" s="7"/>
      <c r="G1605" s="7"/>
      <c r="H1605" s="2"/>
      <c r="I1605" s="7"/>
      <c r="J1605" s="2"/>
      <c r="K1605" s="7">
        <v>33477</v>
      </c>
      <c r="L1605" s="2"/>
      <c r="M1605" s="7"/>
    </row>
    <row r="1606" spans="1:13" ht="12.75">
      <c r="A1606" s="41" t="s">
        <v>159</v>
      </c>
      <c r="B1606" s="46"/>
      <c r="C1606" s="7"/>
      <c r="D1606" s="7"/>
      <c r="E1606" s="7">
        <f t="shared" si="37"/>
        <v>130</v>
      </c>
      <c r="F1606" s="7"/>
      <c r="G1606" s="7">
        <v>130</v>
      </c>
      <c r="H1606" s="2"/>
      <c r="I1606" s="7"/>
      <c r="J1606" s="2"/>
      <c r="K1606" s="7"/>
      <c r="L1606" s="2"/>
      <c r="M1606" s="7"/>
    </row>
    <row r="1607" spans="1:13" ht="12.75">
      <c r="A1607" s="41" t="s">
        <v>66</v>
      </c>
      <c r="B1607" s="46"/>
      <c r="C1607" s="7"/>
      <c r="D1607" s="7"/>
      <c r="E1607" s="7">
        <f t="shared" si="37"/>
        <v>0</v>
      </c>
      <c r="F1607" s="7"/>
      <c r="G1607" s="7"/>
      <c r="H1607" s="2"/>
      <c r="I1607" s="7"/>
      <c r="J1607" s="2"/>
      <c r="K1607" s="7"/>
      <c r="L1607" s="2"/>
      <c r="M1607" s="7"/>
    </row>
    <row r="1608" spans="1:13" ht="12.75">
      <c r="A1608" s="41" t="s">
        <v>51</v>
      </c>
      <c r="B1608" s="46"/>
      <c r="C1608" s="7"/>
      <c r="D1608" s="7"/>
      <c r="E1608" s="7">
        <f t="shared" si="37"/>
        <v>2588.16</v>
      </c>
      <c r="F1608" s="7"/>
      <c r="G1608" s="7"/>
      <c r="H1608" s="2"/>
      <c r="I1608" s="7">
        <v>2588.16</v>
      </c>
      <c r="J1608" s="2"/>
      <c r="K1608" s="7"/>
      <c r="L1608" s="2"/>
      <c r="M1608" s="7"/>
    </row>
    <row r="1609" spans="1:13" ht="12.75">
      <c r="A1609" s="58" t="s">
        <v>52</v>
      </c>
      <c r="B1609" s="46"/>
      <c r="C1609" s="7"/>
      <c r="D1609" s="7"/>
      <c r="E1609" s="7">
        <f t="shared" si="37"/>
        <v>0</v>
      </c>
      <c r="F1609" s="7"/>
      <c r="G1609" s="7"/>
      <c r="H1609" s="2"/>
      <c r="I1609" s="7"/>
      <c r="J1609" s="2"/>
      <c r="K1609" s="7"/>
      <c r="L1609" s="2"/>
      <c r="M1609" s="7"/>
    </row>
    <row r="1610" spans="1:13" ht="12.75">
      <c r="A1610" s="41" t="s">
        <v>80</v>
      </c>
      <c r="B1610" s="46"/>
      <c r="C1610" s="7"/>
      <c r="D1610" s="7"/>
      <c r="E1610" s="7">
        <f t="shared" si="37"/>
        <v>0</v>
      </c>
      <c r="F1610" s="7"/>
      <c r="G1610" s="7"/>
      <c r="H1610" s="2"/>
      <c r="I1610" s="7"/>
      <c r="J1610" s="2"/>
      <c r="K1610" s="7"/>
      <c r="L1610" s="2"/>
      <c r="M1610" s="7"/>
    </row>
    <row r="1611" spans="1:13" ht="12.75">
      <c r="A1611" s="41" t="s">
        <v>242</v>
      </c>
      <c r="B1611" s="46"/>
      <c r="C1611" s="7"/>
      <c r="D1611" s="7"/>
      <c r="E1611" s="7">
        <f t="shared" si="37"/>
        <v>56</v>
      </c>
      <c r="F1611" s="7"/>
      <c r="G1611" s="7"/>
      <c r="H1611" s="2"/>
      <c r="I1611" s="7">
        <v>56</v>
      </c>
      <c r="J1611" s="2"/>
      <c r="K1611" s="7"/>
      <c r="L1611" s="2"/>
      <c r="M1611" s="7"/>
    </row>
    <row r="1612" spans="1:13" ht="12.75">
      <c r="A1612" s="41" t="s">
        <v>57</v>
      </c>
      <c r="B1612" s="46"/>
      <c r="C1612" s="7"/>
      <c r="D1612" s="7"/>
      <c r="E1612" s="7">
        <f t="shared" si="37"/>
        <v>25.618504</v>
      </c>
      <c r="F1612" s="7"/>
      <c r="G1612" s="7"/>
      <c r="H1612" s="2"/>
      <c r="I1612" s="7">
        <f>0.0071*C1571</f>
        <v>25.618504</v>
      </c>
      <c r="J1612" s="2"/>
      <c r="K1612" s="7"/>
      <c r="L1612" s="2"/>
      <c r="M1612" s="7"/>
    </row>
    <row r="1613" spans="1:13" ht="12.75">
      <c r="A1613" s="41" t="s">
        <v>33</v>
      </c>
      <c r="B1613" s="46"/>
      <c r="C1613" s="7"/>
      <c r="D1613" s="7"/>
      <c r="E1613" s="7">
        <f t="shared" si="37"/>
        <v>1871</v>
      </c>
      <c r="F1613" s="15"/>
      <c r="G1613" s="7"/>
      <c r="H1613" s="2"/>
      <c r="I1613" s="7"/>
      <c r="J1613" s="2"/>
      <c r="K1613" s="7">
        <v>1871</v>
      </c>
      <c r="L1613" s="2"/>
      <c r="M1613" s="7"/>
    </row>
    <row r="1614" spans="1:13" ht="12.75">
      <c r="A1614" s="41" t="s">
        <v>50</v>
      </c>
      <c r="B1614" s="46"/>
      <c r="C1614" s="7"/>
      <c r="D1614" s="7"/>
      <c r="E1614" s="7">
        <f t="shared" si="37"/>
        <v>3957.287072</v>
      </c>
      <c r="F1614" s="7"/>
      <c r="G1614" s="7">
        <f>0.2455*C1571</f>
        <v>885.82292</v>
      </c>
      <c r="H1614" s="2"/>
      <c r="I1614" s="7">
        <f>0.5802*C1571</f>
        <v>2093.500848</v>
      </c>
      <c r="J1614" s="2"/>
      <c r="K1614" s="7">
        <f>0.1437*K1571</f>
        <v>519.1478639999999</v>
      </c>
      <c r="L1614" s="2"/>
      <c r="M1614" s="7">
        <f>0.127*K1571</f>
        <v>458.81543999999997</v>
      </c>
    </row>
    <row r="1615" spans="1:13" ht="13.5" thickBot="1">
      <c r="A1615" s="48" t="s">
        <v>54</v>
      </c>
      <c r="B1615" s="49"/>
      <c r="C1615" s="50"/>
      <c r="D1615" s="50"/>
      <c r="E1615" s="50">
        <f t="shared" si="37"/>
        <v>539.617616</v>
      </c>
      <c r="F1615" s="50"/>
      <c r="G1615" s="50">
        <f>0.0196*C1571</f>
        <v>70.721504</v>
      </c>
      <c r="H1615" s="22"/>
      <c r="I1615" s="50">
        <f>0.0078*C1571</f>
        <v>28.144271999999997</v>
      </c>
      <c r="J1615" s="22"/>
      <c r="K1615" s="50">
        <f>0.11*K1571</f>
        <v>397.3992</v>
      </c>
      <c r="L1615" s="22"/>
      <c r="M1615" s="50">
        <f>0.012*K1571</f>
        <v>43.35264</v>
      </c>
    </row>
    <row r="1616" spans="1:13" ht="13.5" thickBot="1">
      <c r="A1616" s="25" t="s">
        <v>10</v>
      </c>
      <c r="B1616" s="81"/>
      <c r="C1616" s="63"/>
      <c r="D1616" s="63"/>
      <c r="E1616" s="63">
        <f t="shared" si="37"/>
        <v>176700.60914480002</v>
      </c>
      <c r="F1616" s="63"/>
      <c r="G1616" s="63">
        <f>SUM(G1595:G1615)</f>
        <v>36904.5820744</v>
      </c>
      <c r="H1616" s="26"/>
      <c r="I1616" s="63">
        <f>SUM(I1595:I1615)</f>
        <v>38492.7374808</v>
      </c>
      <c r="J1616" s="26"/>
      <c r="K1616" s="63">
        <f>SUM(K1595:K1615)</f>
        <v>73162.030152</v>
      </c>
      <c r="L1616" s="26"/>
      <c r="M1616" s="29">
        <f>SUM(M1595:M1615)</f>
        <v>28141.259437599998</v>
      </c>
    </row>
    <row r="1617" spans="1:13" ht="12.75">
      <c r="A1617" s="60" t="s">
        <v>42</v>
      </c>
      <c r="B1617" s="55"/>
      <c r="C1617" s="66"/>
      <c r="D1617" s="66"/>
      <c r="E1617" s="56">
        <f t="shared" si="37"/>
        <v>0</v>
      </c>
      <c r="F1617" s="66"/>
      <c r="G1617" s="56"/>
      <c r="H1617" s="74"/>
      <c r="I1617" s="56"/>
      <c r="J1617" s="74"/>
      <c r="K1617" s="56"/>
      <c r="L1617" s="74"/>
      <c r="M1617" s="56"/>
    </row>
    <row r="1618" spans="1:13" ht="12.75">
      <c r="A1618" s="41" t="s">
        <v>56</v>
      </c>
      <c r="B1618" s="46"/>
      <c r="C1618" s="7"/>
      <c r="D1618" s="7"/>
      <c r="E1618" s="7">
        <f t="shared" si="37"/>
        <v>0</v>
      </c>
      <c r="F1618" s="7"/>
      <c r="G1618" s="7"/>
      <c r="H1618" s="2"/>
      <c r="I1618" s="7"/>
      <c r="J1618" s="2"/>
      <c r="K1618" s="7"/>
      <c r="L1618" s="2"/>
      <c r="M1618" s="7"/>
    </row>
    <row r="1619" spans="1:13" ht="12.75">
      <c r="A1619" s="41" t="s">
        <v>156</v>
      </c>
      <c r="B1619" s="46"/>
      <c r="C1619" s="7"/>
      <c r="D1619" s="7"/>
      <c r="E1619" s="7">
        <f t="shared" si="37"/>
        <v>1050</v>
      </c>
      <c r="F1619" s="7"/>
      <c r="G1619" s="7">
        <v>895</v>
      </c>
      <c r="H1619" s="2"/>
      <c r="I1619" s="7">
        <v>155</v>
      </c>
      <c r="J1619" s="2"/>
      <c r="K1619" s="7"/>
      <c r="L1619" s="2"/>
      <c r="M1619" s="7"/>
    </row>
    <row r="1620" spans="1:13" ht="12.75">
      <c r="A1620" s="41" t="s">
        <v>160</v>
      </c>
      <c r="B1620" s="46"/>
      <c r="C1620" s="7"/>
      <c r="D1620" s="7"/>
      <c r="E1620" s="7">
        <f t="shared" si="37"/>
        <v>3184</v>
      </c>
      <c r="F1620" s="7"/>
      <c r="G1620" s="7">
        <v>2078</v>
      </c>
      <c r="H1620" s="2"/>
      <c r="I1620" s="7"/>
      <c r="J1620" s="2"/>
      <c r="K1620" s="7">
        <v>1106</v>
      </c>
      <c r="L1620" s="2"/>
      <c r="M1620" s="7"/>
    </row>
    <row r="1621" spans="1:13" ht="12.75">
      <c r="A1621" s="41" t="s">
        <v>375</v>
      </c>
      <c r="B1621" s="49"/>
      <c r="C1621" s="50"/>
      <c r="D1621" s="50"/>
      <c r="E1621" s="7">
        <f t="shared" si="37"/>
        <v>267.2</v>
      </c>
      <c r="F1621" s="50"/>
      <c r="G1621" s="50"/>
      <c r="H1621" s="22"/>
      <c r="I1621" s="50"/>
      <c r="J1621" s="22"/>
      <c r="K1621" s="50"/>
      <c r="L1621" s="22"/>
      <c r="M1621" s="50">
        <v>267.2</v>
      </c>
    </row>
    <row r="1622" spans="1:13" ht="12.75">
      <c r="A1622" s="48" t="s">
        <v>241</v>
      </c>
      <c r="B1622" s="49"/>
      <c r="C1622" s="50"/>
      <c r="D1622" s="50"/>
      <c r="E1622" s="7">
        <f t="shared" si="37"/>
        <v>2080</v>
      </c>
      <c r="F1622" s="50"/>
      <c r="G1622" s="50"/>
      <c r="H1622" s="22"/>
      <c r="I1622" s="50">
        <v>2080</v>
      </c>
      <c r="J1622" s="22"/>
      <c r="K1622" s="50"/>
      <c r="L1622" s="22"/>
      <c r="M1622" s="50"/>
    </row>
    <row r="1623" spans="1:13" ht="12.75">
      <c r="A1623" s="48" t="s">
        <v>324</v>
      </c>
      <c r="B1623" s="49"/>
      <c r="C1623" s="50"/>
      <c r="D1623" s="50"/>
      <c r="E1623" s="7">
        <f t="shared" si="37"/>
        <v>1648.83</v>
      </c>
      <c r="F1623" s="50"/>
      <c r="G1623" s="50"/>
      <c r="H1623" s="22"/>
      <c r="I1623" s="50"/>
      <c r="J1623" s="22"/>
      <c r="K1623" s="50">
        <v>1648.83</v>
      </c>
      <c r="L1623" s="22"/>
      <c r="M1623" s="50"/>
    </row>
    <row r="1624" spans="1:13" ht="13.5" thickBot="1">
      <c r="A1624" s="48" t="s">
        <v>16</v>
      </c>
      <c r="B1624" s="49"/>
      <c r="C1624" s="50"/>
      <c r="D1624" s="50"/>
      <c r="E1624" s="50">
        <f t="shared" si="37"/>
        <v>1089.934232</v>
      </c>
      <c r="F1624" s="50"/>
      <c r="G1624" s="50">
        <f>0.0089*C1571</f>
        <v>32.113336</v>
      </c>
      <c r="H1624" s="22"/>
      <c r="I1624" s="50">
        <v>961</v>
      </c>
      <c r="J1624" s="22"/>
      <c r="K1624" s="50"/>
      <c r="L1624" s="22"/>
      <c r="M1624" s="50">
        <f>0.0268*K1571</f>
        <v>96.820896</v>
      </c>
    </row>
    <row r="1625" spans="1:13" ht="13.5" thickBot="1">
      <c r="A1625" s="64" t="s">
        <v>10</v>
      </c>
      <c r="B1625" s="81"/>
      <c r="C1625" s="63"/>
      <c r="D1625" s="63"/>
      <c r="E1625" s="63">
        <f t="shared" si="37"/>
        <v>9319.964232</v>
      </c>
      <c r="F1625" s="63"/>
      <c r="G1625" s="63">
        <f>SUM(G1619:G1624)</f>
        <v>3005.113336</v>
      </c>
      <c r="H1625" s="26"/>
      <c r="I1625" s="63">
        <f>SUM(I1618:I1624)</f>
        <v>3196</v>
      </c>
      <c r="J1625" s="26"/>
      <c r="K1625" s="63">
        <f>SUM(K1618:K1624)</f>
        <v>2754.83</v>
      </c>
      <c r="L1625" s="26"/>
      <c r="M1625" s="29">
        <f>SUM(M1618:M1624)</f>
        <v>364.020896</v>
      </c>
    </row>
    <row r="1626" spans="1:13" ht="13.5" thickBot="1">
      <c r="A1626" s="62" t="s">
        <v>29</v>
      </c>
      <c r="B1626" s="52"/>
      <c r="C1626" s="53"/>
      <c r="D1626" s="53"/>
      <c r="E1626" s="53">
        <f t="shared" si="37"/>
        <v>8278.310408</v>
      </c>
      <c r="F1626" s="53"/>
      <c r="G1626" s="53">
        <f>0.4236*C1571</f>
        <v>1528.4504639999998</v>
      </c>
      <c r="H1626" s="105"/>
      <c r="I1626" s="53">
        <f>0.5971*C1571</f>
        <v>2154.4801039999998</v>
      </c>
      <c r="J1626" s="105"/>
      <c r="K1626" s="53"/>
      <c r="L1626" s="105"/>
      <c r="M1626" s="146">
        <f>1.272*K1571</f>
        <v>4595.37984</v>
      </c>
    </row>
    <row r="1627" spans="1:13" ht="21.75">
      <c r="A1627" s="65" t="s">
        <v>83</v>
      </c>
      <c r="B1627" s="61"/>
      <c r="C1627" s="56"/>
      <c r="D1627" s="56"/>
      <c r="E1627" s="56">
        <f t="shared" si="37"/>
        <v>450634.04742079997</v>
      </c>
      <c r="F1627" s="56"/>
      <c r="G1627" s="56">
        <f>G1593+G1616+G1625+G1626</f>
        <v>104992.01273199999</v>
      </c>
      <c r="H1627" s="74"/>
      <c r="I1627" s="56">
        <f>I1593+I1616+I1625+I1626</f>
        <v>113678.2843192</v>
      </c>
      <c r="J1627" s="74"/>
      <c r="K1627" s="56">
        <f>K1593+K1616+K1625+K1626</f>
        <v>141684.0411936</v>
      </c>
      <c r="L1627" s="74"/>
      <c r="M1627" s="56">
        <f>M1593+M1616+M1625+M1626</f>
        <v>90279.70917599999</v>
      </c>
    </row>
    <row r="1628" spans="1:13" ht="33.75">
      <c r="A1628" s="67" t="s">
        <v>84</v>
      </c>
      <c r="B1628" s="46"/>
      <c r="C1628" s="7"/>
      <c r="D1628" s="7"/>
      <c r="E1628" s="8">
        <f>E1627/12/C1571</f>
        <v>10.407522028763792</v>
      </c>
      <c r="F1628" s="7"/>
      <c r="G1628" s="8">
        <f>G1627/3/C1571</f>
        <v>9.69928208138409</v>
      </c>
      <c r="H1628" s="2"/>
      <c r="I1628" s="8">
        <f>I1627/3/C1571</f>
        <v>10.501729773998774</v>
      </c>
      <c r="J1628" s="2"/>
      <c r="K1628" s="8">
        <f>K1627/3/K1571</f>
        <v>13.07270248765473</v>
      </c>
      <c r="L1628" s="2"/>
      <c r="M1628" s="8">
        <f>M1627/3/K1571</f>
        <v>8.329800369804468</v>
      </c>
    </row>
    <row r="1629" spans="1:13" ht="12.75">
      <c r="A1629" s="69" t="s">
        <v>20</v>
      </c>
      <c r="B1629" s="44"/>
      <c r="C1629" s="45"/>
      <c r="D1629" s="45"/>
      <c r="E1629" s="7">
        <f>E1576-E1627</f>
        <v>-7845.17742079997</v>
      </c>
      <c r="F1629" s="45"/>
      <c r="G1629" s="7">
        <f>G1576-G1627</f>
        <v>-1048.8327319999953</v>
      </c>
      <c r="H1629" s="2"/>
      <c r="I1629" s="7">
        <f>I1576-I1627-1049</f>
        <v>-4533.814319199999</v>
      </c>
      <c r="J1629" s="2"/>
      <c r="K1629" s="7">
        <f>K1576-K1627-4534</f>
        <v>-34361.881193599984</v>
      </c>
      <c r="L1629" s="2"/>
      <c r="M1629" s="7">
        <f>M1576-M1627-34362</f>
        <v>-7845.649175999992</v>
      </c>
    </row>
    <row r="1630" spans="1:13" ht="12.75">
      <c r="A1630" s="14" t="s">
        <v>24</v>
      </c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</row>
    <row r="1631" spans="1:13" ht="12.75">
      <c r="A1631" s="14" t="s">
        <v>35</v>
      </c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</row>
    <row r="1632" spans="1:13" ht="12.75">
      <c r="A1632" s="14" t="s">
        <v>25</v>
      </c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</row>
    <row r="1633" spans="1:13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</row>
    <row r="1634" spans="1:13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</row>
    <row r="1635" spans="1:13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</row>
    <row r="1636" spans="1:13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</row>
    <row r="1637" spans="1:13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</row>
    <row r="1638" spans="1:13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</row>
    <row r="1639" spans="1:13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</row>
    <row r="1640" spans="1:13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</row>
    <row r="1641" spans="1:13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</row>
    <row r="1642" spans="1:13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</row>
    <row r="1643" spans="1:13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</row>
    <row r="1644" spans="1:13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</row>
    <row r="1645" spans="1:13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</row>
    <row r="1646" spans="1:13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</row>
    <row r="1647" spans="1:13" ht="2.25" customHeight="1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</row>
    <row r="1648" spans="1:13" ht="2.25" customHeight="1" hidden="1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</row>
    <row r="1649" spans="1:13" ht="12.75" hidden="1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</row>
    <row r="1650" spans="1:13" ht="12.75" hidden="1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</row>
    <row r="1651" spans="1:13" ht="12.75" hidden="1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</row>
    <row r="1652" spans="1:13" ht="12.75" hidden="1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</row>
    <row r="1653" spans="1:13" ht="12.75" hidden="1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</row>
    <row r="1654" spans="1:13" ht="12.75" hidden="1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</row>
    <row r="1655" spans="1:13" ht="12.75" hidden="1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</row>
    <row r="1656" spans="1:13" ht="12.75">
      <c r="A1656" s="31" t="s">
        <v>21</v>
      </c>
      <c r="B1656" s="31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</row>
    <row r="1657" spans="1:13" ht="12.75">
      <c r="A1657" s="14" t="s">
        <v>31</v>
      </c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</row>
    <row r="1658" spans="1:13" ht="12.75">
      <c r="A1658" s="14" t="s">
        <v>41</v>
      </c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</row>
    <row r="1659" spans="1:13" ht="12.75">
      <c r="A1659" s="14" t="s">
        <v>118</v>
      </c>
      <c r="B1659" s="14"/>
      <c r="C1659" s="14"/>
      <c r="D1659" s="14"/>
      <c r="E1659" s="14" t="s">
        <v>32</v>
      </c>
      <c r="F1659" s="14"/>
      <c r="G1659" s="14"/>
      <c r="H1659" s="14"/>
      <c r="I1659" s="14"/>
      <c r="J1659" s="14"/>
      <c r="K1659" s="14"/>
      <c r="L1659" s="14"/>
      <c r="M1659" s="14"/>
    </row>
    <row r="1660" spans="1:13" ht="12.75" customHeight="1">
      <c r="A1660" s="6" t="s">
        <v>0</v>
      </c>
      <c r="B1660" s="151" t="s">
        <v>38</v>
      </c>
      <c r="C1660" s="152"/>
      <c r="D1660" s="149" t="s">
        <v>39</v>
      </c>
      <c r="E1660" s="150"/>
      <c r="F1660" s="149" t="s">
        <v>96</v>
      </c>
      <c r="G1660" s="150"/>
      <c r="H1660" s="149" t="s">
        <v>97</v>
      </c>
      <c r="I1660" s="150"/>
      <c r="J1660" s="149" t="s">
        <v>98</v>
      </c>
      <c r="K1660" s="150"/>
      <c r="L1660" s="149" t="s">
        <v>99</v>
      </c>
      <c r="M1660" s="150"/>
    </row>
    <row r="1661" spans="1:13" ht="12.75">
      <c r="A1661" s="11" t="s">
        <v>5</v>
      </c>
      <c r="B1661" s="153"/>
      <c r="C1661" s="154"/>
      <c r="D1661" s="6" t="s">
        <v>40</v>
      </c>
      <c r="E1661" s="6" t="s">
        <v>22</v>
      </c>
      <c r="F1661" s="6" t="s">
        <v>40</v>
      </c>
      <c r="G1661" s="13" t="s">
        <v>22</v>
      </c>
      <c r="H1661" s="2"/>
      <c r="I1661" s="2"/>
      <c r="J1661" s="2"/>
      <c r="K1661" s="2"/>
      <c r="L1661" s="2"/>
      <c r="M1661" s="2"/>
    </row>
    <row r="1662" spans="1:13" ht="12.75">
      <c r="A1662" s="2" t="s">
        <v>1</v>
      </c>
      <c r="B1662" s="2"/>
      <c r="C1662" s="6">
        <v>5</v>
      </c>
      <c r="D1662" s="2"/>
      <c r="E1662" s="2"/>
      <c r="F1662" s="2"/>
      <c r="G1662" s="2"/>
      <c r="H1662" s="2"/>
      <c r="I1662" s="2"/>
      <c r="J1662" s="2"/>
      <c r="K1662" s="2"/>
      <c r="L1662" s="2"/>
      <c r="M1662" s="2"/>
    </row>
    <row r="1663" spans="1:13" ht="12.75">
      <c r="A1663" s="2" t="s">
        <v>2</v>
      </c>
      <c r="B1663" s="2"/>
      <c r="C1663" s="6">
        <v>4</v>
      </c>
      <c r="D1663" s="2"/>
      <c r="E1663" s="2"/>
      <c r="F1663" s="2"/>
      <c r="G1663" s="2"/>
      <c r="H1663" s="2"/>
      <c r="I1663" s="2"/>
      <c r="J1663" s="2"/>
      <c r="K1663" s="2"/>
      <c r="L1663" s="2"/>
      <c r="M1663" s="2"/>
    </row>
    <row r="1664" spans="1:13" ht="12.75">
      <c r="A1664" s="2" t="s">
        <v>3</v>
      </c>
      <c r="B1664" s="2"/>
      <c r="C1664" s="6">
        <v>57</v>
      </c>
      <c r="D1664" s="2"/>
      <c r="E1664" s="2"/>
      <c r="F1664" s="2"/>
      <c r="G1664" s="2"/>
      <c r="H1664" s="2"/>
      <c r="I1664" s="2"/>
      <c r="J1664" s="2"/>
      <c r="K1664" s="2"/>
      <c r="L1664" s="2"/>
      <c r="M1664" s="2"/>
    </row>
    <row r="1665" spans="1:13" ht="12.75">
      <c r="A1665" s="2" t="s">
        <v>4</v>
      </c>
      <c r="B1665" s="6"/>
      <c r="C1665" s="6">
        <v>2527.8</v>
      </c>
      <c r="D1665" s="6"/>
      <c r="E1665" s="6"/>
      <c r="F1665" s="6"/>
      <c r="G1665" s="2"/>
      <c r="H1665" s="2"/>
      <c r="I1665" s="2"/>
      <c r="J1665" s="2"/>
      <c r="K1665" s="2">
        <v>2542.18</v>
      </c>
      <c r="L1665" s="2"/>
      <c r="M1665" s="2"/>
    </row>
    <row r="1666" spans="1:13" ht="21.75">
      <c r="A1666" s="35" t="s">
        <v>6</v>
      </c>
      <c r="B1666" s="11" t="s">
        <v>40</v>
      </c>
      <c r="C1666" s="2" t="s">
        <v>22</v>
      </c>
      <c r="D1666" s="2"/>
      <c r="E1666" s="2"/>
      <c r="F1666" s="2"/>
      <c r="G1666" s="2"/>
      <c r="H1666" s="2"/>
      <c r="I1666" s="2"/>
      <c r="J1666" s="2"/>
      <c r="K1666" s="2"/>
      <c r="L1666" s="2"/>
      <c r="M1666" s="2"/>
    </row>
    <row r="1667" spans="1:13" ht="22.5">
      <c r="A1667" s="40" t="s">
        <v>7</v>
      </c>
      <c r="B1667" s="3"/>
      <c r="C1667" s="6"/>
      <c r="D1667" s="6"/>
      <c r="E1667" s="6">
        <f>G1667+I1667+K1667+M1667</f>
        <v>192602.12000000002</v>
      </c>
      <c r="F1667" s="2"/>
      <c r="G1667" s="2">
        <v>63619.4</v>
      </c>
      <c r="H1667" s="2"/>
      <c r="I1667" s="6">
        <v>68162.98</v>
      </c>
      <c r="J1667" s="2"/>
      <c r="K1667" s="2">
        <v>59867.85</v>
      </c>
      <c r="L1667" s="2"/>
      <c r="M1667" s="2">
        <v>951.89</v>
      </c>
    </row>
    <row r="1668" spans="1:13" ht="12.75">
      <c r="A1668" s="41" t="s">
        <v>8</v>
      </c>
      <c r="B1668" s="3"/>
      <c r="C1668" s="6"/>
      <c r="D1668" s="6"/>
      <c r="E1668" s="6"/>
      <c r="F1668" s="2"/>
      <c r="G1668" s="2"/>
      <c r="H1668" s="2"/>
      <c r="I1668" s="6"/>
      <c r="J1668" s="2"/>
      <c r="K1668" s="2"/>
      <c r="L1668" s="2"/>
      <c r="M1668" s="2"/>
    </row>
    <row r="1669" spans="1:13" ht="12.75">
      <c r="A1669" s="41" t="s">
        <v>9</v>
      </c>
      <c r="B1669" s="3"/>
      <c r="C1669" s="6"/>
      <c r="D1669" s="6"/>
      <c r="E1669" s="6"/>
      <c r="F1669" s="2"/>
      <c r="G1669" s="2"/>
      <c r="H1669" s="2"/>
      <c r="I1669" s="6"/>
      <c r="J1669" s="2"/>
      <c r="K1669" s="2"/>
      <c r="L1669" s="2"/>
      <c r="M1669" s="2"/>
    </row>
    <row r="1670" spans="1:13" ht="12.75">
      <c r="A1670" s="2" t="s">
        <v>10</v>
      </c>
      <c r="B1670" s="42"/>
      <c r="C1670" s="11"/>
      <c r="D1670" s="11"/>
      <c r="E1670" s="11">
        <f>E1667+E1668+E1669</f>
        <v>192602.12000000002</v>
      </c>
      <c r="F1670" s="37"/>
      <c r="G1670" s="37">
        <f>SUM(G1667:G1669)</f>
        <v>63619.4</v>
      </c>
      <c r="H1670" s="2"/>
      <c r="I1670" s="6">
        <f>SUM(I1667:I1669)</f>
        <v>68162.98</v>
      </c>
      <c r="J1670" s="2"/>
      <c r="K1670" s="2">
        <f>SUM(K1667:K1669)</f>
        <v>59867.85</v>
      </c>
      <c r="L1670" s="2"/>
      <c r="M1670" s="2">
        <f>SUM(M1667:M1669)</f>
        <v>951.89</v>
      </c>
    </row>
    <row r="1671" spans="1:13" ht="21.75">
      <c r="A1671" s="35" t="s">
        <v>82</v>
      </c>
      <c r="B1671" s="4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</row>
    <row r="1672" spans="1:13" ht="12.75">
      <c r="A1672" s="43" t="s">
        <v>11</v>
      </c>
      <c r="B1672" s="44"/>
      <c r="C1672" s="45"/>
      <c r="D1672" s="45"/>
      <c r="E1672" s="45">
        <f>G1672+I1672+K1672+M1672</f>
        <v>50626.27178273334</v>
      </c>
      <c r="F1672" s="45"/>
      <c r="G1672" s="45">
        <f>7.99407*C1665</f>
        <v>20207.410146000002</v>
      </c>
      <c r="H1672" s="2"/>
      <c r="I1672" s="7">
        <f>9.57707*C1665</f>
        <v>24208.917546000004</v>
      </c>
      <c r="J1672" s="2"/>
      <c r="K1672" s="7">
        <f>7.32829*K1665/3</f>
        <v>6209.944090733333</v>
      </c>
      <c r="L1672" s="2"/>
      <c r="M1672" s="2"/>
    </row>
    <row r="1673" spans="1:13" ht="12.75">
      <c r="A1673" s="43" t="s">
        <v>12</v>
      </c>
      <c r="B1673" s="46"/>
      <c r="C1673" s="7"/>
      <c r="D1673" s="7"/>
      <c r="E1673" s="7">
        <f aca="true" t="shared" si="38" ref="E1673:E1718">G1673+I1673+K1673+M1673</f>
        <v>0</v>
      </c>
      <c r="F1673" s="7"/>
      <c r="G1673" s="7"/>
      <c r="H1673" s="2"/>
      <c r="I1673" s="7"/>
      <c r="J1673" s="2"/>
      <c r="K1673" s="7"/>
      <c r="L1673" s="2"/>
      <c r="M1673" s="2"/>
    </row>
    <row r="1674" spans="1:13" ht="12.75">
      <c r="A1674" s="41" t="s">
        <v>13</v>
      </c>
      <c r="B1674" s="46"/>
      <c r="C1674" s="7"/>
      <c r="D1674" s="7"/>
      <c r="E1674" s="7">
        <f t="shared" si="38"/>
        <v>69580.68704799999</v>
      </c>
      <c r="F1674" s="7"/>
      <c r="G1674" s="7">
        <f>G1675+G1677+G1678+G1679+G1680+G1681+G1682+G1683+G1684+G1685+G1686</f>
        <v>28992.400126</v>
      </c>
      <c r="H1674" s="2"/>
      <c r="I1674" s="7">
        <f>I1675+I1677+I1678+I1679+I1680+I1681+I1682+I1683+I1684+I1685+I1686</f>
        <v>28808.676922</v>
      </c>
      <c r="J1674" s="2"/>
      <c r="K1674" s="7">
        <f>K1675+K1677+K1678+K1679+K1680+K1681+K1682+K1683+K1684+K1685+K1686</f>
        <v>11779.61</v>
      </c>
      <c r="L1674" s="2"/>
      <c r="M1674" s="2"/>
    </row>
    <row r="1675" spans="1:13" ht="12.75">
      <c r="A1675" s="47" t="s">
        <v>14</v>
      </c>
      <c r="B1675" s="46"/>
      <c r="C1675" s="71"/>
      <c r="D1675" s="7"/>
      <c r="E1675" s="7">
        <f t="shared" si="38"/>
        <v>63129</v>
      </c>
      <c r="F1675" s="7"/>
      <c r="G1675" s="7">
        <v>27318</v>
      </c>
      <c r="H1675" s="2"/>
      <c r="I1675" s="7">
        <v>26571</v>
      </c>
      <c r="J1675" s="2"/>
      <c r="K1675" s="7">
        <v>9240</v>
      </c>
      <c r="L1675" s="2"/>
      <c r="M1675" s="2"/>
    </row>
    <row r="1676" spans="1:13" ht="12.75">
      <c r="A1676" s="41" t="s">
        <v>19</v>
      </c>
      <c r="B1676" s="46"/>
      <c r="C1676" s="71"/>
      <c r="D1676" s="7"/>
      <c r="E1676" s="7">
        <f t="shared" si="38"/>
        <v>44070</v>
      </c>
      <c r="F1676" s="7"/>
      <c r="G1676" s="7">
        <v>18890</v>
      </c>
      <c r="H1676" s="2"/>
      <c r="I1676" s="7">
        <v>18890</v>
      </c>
      <c r="J1676" s="2"/>
      <c r="K1676" s="7">
        <v>6290</v>
      </c>
      <c r="L1676" s="2"/>
      <c r="M1676" s="2"/>
    </row>
    <row r="1677" spans="1:13" ht="12.75">
      <c r="A1677" s="41" t="s">
        <v>18</v>
      </c>
      <c r="B1677" s="46"/>
      <c r="C1677" s="7"/>
      <c r="D1677" s="7"/>
      <c r="E1677" s="7">
        <f t="shared" si="38"/>
        <v>444.34000000000003</v>
      </c>
      <c r="F1677" s="7"/>
      <c r="G1677" s="7">
        <v>148.18</v>
      </c>
      <c r="H1677" s="2"/>
      <c r="I1677" s="7">
        <v>208.55</v>
      </c>
      <c r="J1677" s="2"/>
      <c r="K1677" s="7">
        <v>87.61</v>
      </c>
      <c r="L1677" s="2"/>
      <c r="M1677" s="2"/>
    </row>
    <row r="1678" spans="1:13" ht="12.75">
      <c r="A1678" s="41" t="s">
        <v>53</v>
      </c>
      <c r="B1678" s="46"/>
      <c r="C1678" s="7"/>
      <c r="D1678" s="7"/>
      <c r="E1678" s="7">
        <f t="shared" si="38"/>
        <v>2727.647868</v>
      </c>
      <c r="F1678" s="7"/>
      <c r="G1678" s="7">
        <f>0.54857*C1665</f>
        <v>1386.675246</v>
      </c>
      <c r="H1678" s="2"/>
      <c r="I1678" s="7">
        <f>0.53049*C1665</f>
        <v>1340.9726220000002</v>
      </c>
      <c r="J1678" s="2"/>
      <c r="K1678" s="7"/>
      <c r="L1678" s="2"/>
      <c r="M1678" s="2"/>
    </row>
    <row r="1679" spans="1:13" ht="12.75">
      <c r="A1679" s="41" t="s">
        <v>148</v>
      </c>
      <c r="B1679" s="46"/>
      <c r="C1679" s="7"/>
      <c r="D1679" s="7"/>
      <c r="E1679" s="7">
        <f t="shared" si="38"/>
        <v>255</v>
      </c>
      <c r="F1679" s="7"/>
      <c r="G1679" s="7">
        <v>90</v>
      </c>
      <c r="H1679" s="2"/>
      <c r="I1679" s="7">
        <v>165</v>
      </c>
      <c r="J1679" s="2"/>
      <c r="K1679" s="7"/>
      <c r="L1679" s="2"/>
      <c r="M1679" s="2"/>
    </row>
    <row r="1680" spans="1:13" ht="12.75">
      <c r="A1680" s="41" t="s">
        <v>27</v>
      </c>
      <c r="B1680" s="46"/>
      <c r="C1680" s="7"/>
      <c r="D1680" s="7"/>
      <c r="E1680" s="7">
        <f t="shared" si="38"/>
        <v>350</v>
      </c>
      <c r="F1680" s="7"/>
      <c r="G1680" s="7"/>
      <c r="H1680" s="2"/>
      <c r="I1680" s="7">
        <v>350</v>
      </c>
      <c r="J1680" s="2"/>
      <c r="K1680" s="7"/>
      <c r="L1680" s="2"/>
      <c r="M1680" s="2"/>
    </row>
    <row r="1681" spans="1:13" ht="12.75">
      <c r="A1681" s="41" t="s">
        <v>36</v>
      </c>
      <c r="B1681" s="46"/>
      <c r="C1681" s="7"/>
      <c r="D1681" s="7"/>
      <c r="E1681" s="7">
        <f t="shared" si="38"/>
        <v>2452</v>
      </c>
      <c r="F1681" s="7"/>
      <c r="G1681" s="7"/>
      <c r="H1681" s="2"/>
      <c r="I1681" s="7"/>
      <c r="J1681" s="2" t="s">
        <v>282</v>
      </c>
      <c r="K1681" s="7">
        <v>2452</v>
      </c>
      <c r="L1681" s="2"/>
      <c r="M1681" s="2"/>
    </row>
    <row r="1682" spans="1:13" ht="12.75">
      <c r="A1682" s="41" t="s">
        <v>58</v>
      </c>
      <c r="B1682" s="46"/>
      <c r="C1682" s="7"/>
      <c r="D1682" s="7"/>
      <c r="E1682" s="7">
        <f t="shared" si="38"/>
        <v>0</v>
      </c>
      <c r="F1682" s="7"/>
      <c r="G1682" s="7"/>
      <c r="H1682" s="2"/>
      <c r="I1682" s="7"/>
      <c r="J1682" s="2"/>
      <c r="K1682" s="7"/>
      <c r="L1682" s="2"/>
      <c r="M1682" s="2"/>
    </row>
    <row r="1683" spans="1:13" ht="12.75">
      <c r="A1683" s="41" t="s">
        <v>43</v>
      </c>
      <c r="B1683" s="46"/>
      <c r="C1683" s="7"/>
      <c r="D1683" s="7"/>
      <c r="E1683" s="7">
        <f t="shared" si="38"/>
        <v>0</v>
      </c>
      <c r="F1683" s="7"/>
      <c r="G1683" s="7"/>
      <c r="H1683" s="2"/>
      <c r="I1683" s="7"/>
      <c r="J1683" s="2"/>
      <c r="K1683" s="7"/>
      <c r="L1683" s="2"/>
      <c r="M1683" s="2"/>
    </row>
    <row r="1684" spans="1:13" ht="12.75">
      <c r="A1684" s="41" t="s">
        <v>30</v>
      </c>
      <c r="B1684" s="46"/>
      <c r="C1684" s="7"/>
      <c r="D1684" s="7"/>
      <c r="E1684" s="7">
        <f t="shared" si="38"/>
        <v>0</v>
      </c>
      <c r="F1684" s="7"/>
      <c r="G1684" s="7"/>
      <c r="H1684" s="2"/>
      <c r="I1684" s="7"/>
      <c r="J1684" s="2"/>
      <c r="K1684" s="7"/>
      <c r="L1684" s="2"/>
      <c r="M1684" s="2"/>
    </row>
    <row r="1685" spans="1:13" ht="12.75">
      <c r="A1685" s="41" t="s">
        <v>54</v>
      </c>
      <c r="B1685" s="46"/>
      <c r="C1685" s="7"/>
      <c r="D1685" s="7"/>
      <c r="E1685" s="7">
        <f t="shared" si="38"/>
        <v>49.54488</v>
      </c>
      <c r="F1685" s="7"/>
      <c r="G1685" s="7">
        <f>0.0196*C1665</f>
        <v>49.54488</v>
      </c>
      <c r="H1685" s="2"/>
      <c r="I1685" s="7"/>
      <c r="J1685" s="2"/>
      <c r="K1685" s="7"/>
      <c r="L1685" s="2"/>
      <c r="M1685" s="2"/>
    </row>
    <row r="1686" spans="1:13" ht="13.5" thickBot="1">
      <c r="A1686" s="48" t="s">
        <v>55</v>
      </c>
      <c r="B1686" s="49"/>
      <c r="C1686" s="50"/>
      <c r="D1686" s="50"/>
      <c r="E1686" s="50">
        <f t="shared" si="38"/>
        <v>173.15430000000003</v>
      </c>
      <c r="F1686" s="50"/>
      <c r="G1686" s="50"/>
      <c r="H1686" s="22"/>
      <c r="I1686" s="50">
        <f>0.0685*C1665</f>
        <v>173.15430000000003</v>
      </c>
      <c r="J1686" s="22"/>
      <c r="K1686" s="50"/>
      <c r="L1686" s="22"/>
      <c r="M1686" s="22"/>
    </row>
    <row r="1687" spans="1:13" ht="13.5" thickBot="1">
      <c r="A1687" s="51" t="s">
        <v>76</v>
      </c>
      <c r="B1687" s="81"/>
      <c r="C1687" s="63"/>
      <c r="D1687" s="63"/>
      <c r="E1687" s="63">
        <f t="shared" si="38"/>
        <v>120206.95883073333</v>
      </c>
      <c r="F1687" s="63"/>
      <c r="G1687" s="63">
        <f>G1672+G1674</f>
        <v>49199.810272</v>
      </c>
      <c r="H1687" s="26"/>
      <c r="I1687" s="63">
        <f>I1672+I1674</f>
        <v>53017.594468</v>
      </c>
      <c r="J1687" s="26"/>
      <c r="K1687" s="63">
        <f>K1672+K1674</f>
        <v>17989.554090733334</v>
      </c>
      <c r="L1687" s="26"/>
      <c r="M1687" s="84"/>
    </row>
    <row r="1688" spans="1:13" ht="21.75">
      <c r="A1688" s="54" t="s">
        <v>15</v>
      </c>
      <c r="B1688" s="55"/>
      <c r="C1688" s="66"/>
      <c r="D1688" s="66"/>
      <c r="E1688" s="56">
        <f t="shared" si="38"/>
        <v>0</v>
      </c>
      <c r="F1688" s="66"/>
      <c r="G1688" s="56"/>
      <c r="H1688" s="74"/>
      <c r="I1688" s="56"/>
      <c r="J1688" s="74"/>
      <c r="K1688" s="56"/>
      <c r="L1688" s="74"/>
      <c r="M1688" s="56"/>
    </row>
    <row r="1689" spans="1:13" ht="12.75">
      <c r="A1689" s="41" t="s">
        <v>17</v>
      </c>
      <c r="B1689" s="46"/>
      <c r="C1689" s="7"/>
      <c r="D1689" s="7"/>
      <c r="E1689" s="7">
        <f t="shared" si="38"/>
        <v>40935.72224133334</v>
      </c>
      <c r="F1689" s="7"/>
      <c r="G1689" s="7">
        <f>6.73321*C1665</f>
        <v>17020.208238</v>
      </c>
      <c r="H1689" s="2"/>
      <c r="I1689" s="7">
        <f>7.02207*C1665</f>
        <v>17750.388546000002</v>
      </c>
      <c r="J1689" s="2"/>
      <c r="K1689" s="7">
        <f>7.2754*K1665/3</f>
        <v>6165.125457333333</v>
      </c>
      <c r="L1689" s="2"/>
      <c r="M1689" s="7"/>
    </row>
    <row r="1690" spans="1:13" ht="12.75">
      <c r="A1690" s="41" t="s">
        <v>34</v>
      </c>
      <c r="B1690" s="46"/>
      <c r="C1690" s="71"/>
      <c r="D1690" s="7"/>
      <c r="E1690" s="7">
        <f t="shared" si="38"/>
        <v>0</v>
      </c>
      <c r="F1690" s="7"/>
      <c r="G1690" s="7"/>
      <c r="H1690" s="2"/>
      <c r="I1690" s="7"/>
      <c r="J1690" s="2"/>
      <c r="K1690" s="7"/>
      <c r="L1690" s="2"/>
      <c r="M1690" s="7"/>
    </row>
    <row r="1691" spans="1:13" ht="12.75">
      <c r="A1691" s="41" t="s">
        <v>67</v>
      </c>
      <c r="B1691" s="46"/>
      <c r="C1691" s="7"/>
      <c r="D1691" s="7"/>
      <c r="E1691" s="7">
        <f t="shared" si="38"/>
        <v>10600.5</v>
      </c>
      <c r="F1691" s="7"/>
      <c r="G1691" s="7">
        <v>6690.5</v>
      </c>
      <c r="H1691" s="2"/>
      <c r="I1691" s="7">
        <v>3540</v>
      </c>
      <c r="J1691" s="2"/>
      <c r="K1691" s="7">
        <v>370</v>
      </c>
      <c r="L1691" s="2"/>
      <c r="M1691" s="7"/>
    </row>
    <row r="1692" spans="1:13" ht="12.75">
      <c r="A1692" s="41" t="s">
        <v>68</v>
      </c>
      <c r="B1692" s="46"/>
      <c r="C1692" s="7"/>
      <c r="D1692" s="7"/>
      <c r="E1692" s="7">
        <f t="shared" si="38"/>
        <v>0</v>
      </c>
      <c r="F1692" s="7"/>
      <c r="G1692" s="7"/>
      <c r="H1692" s="2"/>
      <c r="I1692" s="7"/>
      <c r="J1692" s="2"/>
      <c r="K1692" s="7"/>
      <c r="L1692" s="2"/>
      <c r="M1692" s="7"/>
    </row>
    <row r="1693" spans="1:13" ht="12.75">
      <c r="A1693" s="41" t="s">
        <v>69</v>
      </c>
      <c r="B1693" s="46"/>
      <c r="C1693" s="7"/>
      <c r="D1693" s="7"/>
      <c r="E1693" s="7">
        <f t="shared" si="38"/>
        <v>0</v>
      </c>
      <c r="F1693" s="7"/>
      <c r="G1693" s="7"/>
      <c r="H1693" s="2"/>
      <c r="I1693" s="7"/>
      <c r="J1693" s="2"/>
      <c r="K1693" s="7"/>
      <c r="L1693" s="2"/>
      <c r="M1693" s="7"/>
    </row>
    <row r="1694" spans="1:13" ht="12.75">
      <c r="A1694" s="41" t="s">
        <v>26</v>
      </c>
      <c r="B1694" s="46"/>
      <c r="C1694" s="7"/>
      <c r="D1694" s="7"/>
      <c r="E1694" s="7">
        <f t="shared" si="38"/>
        <v>2515</v>
      </c>
      <c r="F1694" s="7"/>
      <c r="G1694" s="7"/>
      <c r="H1694" s="2"/>
      <c r="I1694" s="7">
        <v>2515</v>
      </c>
      <c r="J1694" s="2"/>
      <c r="K1694" s="7"/>
      <c r="L1694" s="2"/>
      <c r="M1694" s="7"/>
    </row>
    <row r="1695" spans="1:13" ht="12.75">
      <c r="A1695" s="41" t="s">
        <v>28</v>
      </c>
      <c r="B1695" s="46"/>
      <c r="C1695" s="7"/>
      <c r="D1695" s="7"/>
      <c r="E1695" s="7">
        <f t="shared" si="38"/>
        <v>345</v>
      </c>
      <c r="F1695" s="7"/>
      <c r="G1695" s="7">
        <v>345</v>
      </c>
      <c r="H1695" s="2"/>
      <c r="I1695" s="7"/>
      <c r="J1695" s="2"/>
      <c r="K1695" s="7"/>
      <c r="L1695" s="2"/>
      <c r="M1695" s="7"/>
    </row>
    <row r="1696" spans="1:13" ht="12.75">
      <c r="A1696" s="41" t="s">
        <v>60</v>
      </c>
      <c r="B1696" s="46"/>
      <c r="C1696" s="7"/>
      <c r="D1696" s="7"/>
      <c r="E1696" s="7">
        <f t="shared" si="38"/>
        <v>0</v>
      </c>
      <c r="F1696" s="7"/>
      <c r="G1696" s="7"/>
      <c r="H1696" s="2"/>
      <c r="I1696" s="7"/>
      <c r="J1696" s="2"/>
      <c r="K1696" s="7"/>
      <c r="L1696" s="2"/>
      <c r="M1696" s="7"/>
    </row>
    <row r="1697" spans="1:13" ht="12.75">
      <c r="A1697" s="41" t="s">
        <v>75</v>
      </c>
      <c r="B1697" s="46"/>
      <c r="C1697" s="7"/>
      <c r="D1697" s="7"/>
      <c r="E1697" s="7">
        <f t="shared" si="38"/>
        <v>0</v>
      </c>
      <c r="F1697" s="7"/>
      <c r="G1697" s="7"/>
      <c r="H1697" s="2"/>
      <c r="I1697" s="7"/>
      <c r="J1697" s="2"/>
      <c r="K1697" s="7"/>
      <c r="L1697" s="2"/>
      <c r="M1697" s="7"/>
    </row>
    <row r="1698" spans="1:13" ht="12.75">
      <c r="A1698" s="41" t="s">
        <v>62</v>
      </c>
      <c r="B1698" s="46"/>
      <c r="C1698" s="7"/>
      <c r="D1698" s="7"/>
      <c r="E1698" s="7">
        <f t="shared" si="38"/>
        <v>0</v>
      </c>
      <c r="F1698" s="7"/>
      <c r="G1698" s="7"/>
      <c r="H1698" s="2"/>
      <c r="I1698" s="7"/>
      <c r="J1698" s="2"/>
      <c r="K1698" s="7"/>
      <c r="L1698" s="2"/>
      <c r="M1698" s="7"/>
    </row>
    <row r="1699" spans="1:13" ht="12.75">
      <c r="A1699" s="41" t="s">
        <v>423</v>
      </c>
      <c r="B1699" s="46"/>
      <c r="C1699" s="7"/>
      <c r="D1699" s="7"/>
      <c r="E1699" s="7">
        <f t="shared" si="38"/>
        <v>7823.21</v>
      </c>
      <c r="F1699" s="7"/>
      <c r="G1699" s="7"/>
      <c r="H1699" s="2"/>
      <c r="I1699" s="7"/>
      <c r="J1699" s="2"/>
      <c r="K1699" s="7"/>
      <c r="L1699" s="2"/>
      <c r="M1699" s="7">
        <v>7823.21</v>
      </c>
    </row>
    <row r="1700" spans="1:13" ht="12.75">
      <c r="A1700" s="41" t="s">
        <v>66</v>
      </c>
      <c r="B1700" s="46"/>
      <c r="C1700" s="7"/>
      <c r="D1700" s="7"/>
      <c r="E1700" s="7">
        <f t="shared" si="38"/>
        <v>0</v>
      </c>
      <c r="F1700" s="7"/>
      <c r="G1700" s="7"/>
      <c r="H1700" s="2"/>
      <c r="I1700" s="7"/>
      <c r="J1700" s="2"/>
      <c r="K1700" s="7"/>
      <c r="L1700" s="2"/>
      <c r="M1700" s="7"/>
    </row>
    <row r="1701" spans="1:13" ht="12.75">
      <c r="A1701" s="41" t="s">
        <v>51</v>
      </c>
      <c r="B1701" s="46"/>
      <c r="C1701" s="7"/>
      <c r="D1701" s="7"/>
      <c r="E1701" s="7">
        <f t="shared" si="38"/>
        <v>2507.94</v>
      </c>
      <c r="F1701" s="7"/>
      <c r="G1701" s="7"/>
      <c r="H1701" s="2"/>
      <c r="I1701" s="7">
        <f>2507.94</f>
        <v>2507.94</v>
      </c>
      <c r="J1701" s="2"/>
      <c r="K1701" s="7"/>
      <c r="L1701" s="2"/>
      <c r="M1701" s="7"/>
    </row>
    <row r="1702" spans="1:13" ht="12.75">
      <c r="A1702" s="58" t="s">
        <v>52</v>
      </c>
      <c r="B1702" s="46"/>
      <c r="C1702" s="7"/>
      <c r="D1702" s="7"/>
      <c r="E1702" s="7">
        <f t="shared" si="38"/>
        <v>0</v>
      </c>
      <c r="F1702" s="7"/>
      <c r="G1702" s="7"/>
      <c r="H1702" s="2"/>
      <c r="I1702" s="7"/>
      <c r="J1702" s="2"/>
      <c r="K1702" s="7"/>
      <c r="L1702" s="2"/>
      <c r="M1702" s="7"/>
    </row>
    <row r="1703" spans="1:13" ht="12.75">
      <c r="A1703" s="41" t="s">
        <v>80</v>
      </c>
      <c r="B1703" s="46"/>
      <c r="C1703" s="7"/>
      <c r="D1703" s="7"/>
      <c r="E1703" s="7">
        <f t="shared" si="38"/>
        <v>0</v>
      </c>
      <c r="F1703" s="7"/>
      <c r="G1703" s="7"/>
      <c r="H1703" s="2"/>
      <c r="I1703" s="7"/>
      <c r="J1703" s="2"/>
      <c r="K1703" s="7"/>
      <c r="L1703" s="2"/>
      <c r="M1703" s="7"/>
    </row>
    <row r="1704" spans="1:13" ht="12.75">
      <c r="A1704" s="41" t="s">
        <v>65</v>
      </c>
      <c r="B1704" s="46"/>
      <c r="C1704" s="7"/>
      <c r="D1704" s="7"/>
      <c r="E1704" s="7">
        <f t="shared" si="38"/>
        <v>0</v>
      </c>
      <c r="F1704" s="7"/>
      <c r="G1704" s="7"/>
      <c r="H1704" s="2"/>
      <c r="I1704" s="7"/>
      <c r="J1704" s="2"/>
      <c r="K1704" s="7"/>
      <c r="L1704" s="2"/>
      <c r="M1704" s="7"/>
    </row>
    <row r="1705" spans="1:13" ht="12.75">
      <c r="A1705" s="41" t="s">
        <v>57</v>
      </c>
      <c r="B1705" s="46"/>
      <c r="C1705" s="7"/>
      <c r="D1705" s="7"/>
      <c r="E1705" s="7">
        <f t="shared" si="38"/>
        <v>17.947380000000003</v>
      </c>
      <c r="F1705" s="7"/>
      <c r="G1705" s="7"/>
      <c r="H1705" s="2"/>
      <c r="I1705" s="7">
        <f>0.0071*C1665</f>
        <v>17.947380000000003</v>
      </c>
      <c r="J1705" s="2"/>
      <c r="K1705" s="7"/>
      <c r="L1705" s="2"/>
      <c r="M1705" s="7"/>
    </row>
    <row r="1706" spans="1:13" ht="12.75">
      <c r="A1706" s="41" t="s">
        <v>33</v>
      </c>
      <c r="B1706" s="46"/>
      <c r="C1706" s="7"/>
      <c r="D1706" s="7"/>
      <c r="E1706" s="7">
        <f t="shared" si="38"/>
        <v>0</v>
      </c>
      <c r="F1706" s="15"/>
      <c r="G1706" s="7"/>
      <c r="H1706" s="2"/>
      <c r="I1706" s="7"/>
      <c r="J1706" s="2"/>
      <c r="K1706" s="7"/>
      <c r="L1706" s="2"/>
      <c r="M1706" s="7"/>
    </row>
    <row r="1707" spans="1:13" ht="12.75">
      <c r="A1707" s="41" t="s">
        <v>50</v>
      </c>
      <c r="B1707" s="46"/>
      <c r="C1707" s="7"/>
      <c r="D1707" s="7"/>
      <c r="E1707" s="7">
        <f t="shared" si="38"/>
        <v>2087.2044600000004</v>
      </c>
      <c r="F1707" s="7"/>
      <c r="G1707" s="7">
        <f>0.2455*C1665</f>
        <v>620.5749000000001</v>
      </c>
      <c r="H1707" s="2"/>
      <c r="I1707" s="7">
        <f>0.5802*C1665</f>
        <v>1466.6295600000003</v>
      </c>
      <c r="J1707" s="2"/>
      <c r="K1707" s="7"/>
      <c r="L1707" s="2"/>
      <c r="M1707" s="7"/>
    </row>
    <row r="1708" spans="1:13" ht="12.75">
      <c r="A1708" s="41" t="s">
        <v>54</v>
      </c>
      <c r="B1708" s="46"/>
      <c r="C1708" s="7"/>
      <c r="D1708" s="7"/>
      <c r="E1708" s="7">
        <f t="shared" si="38"/>
        <v>19.71684</v>
      </c>
      <c r="F1708" s="7"/>
      <c r="G1708" s="7"/>
      <c r="H1708" s="2"/>
      <c r="I1708" s="7">
        <f>0.0078*C1665</f>
        <v>19.71684</v>
      </c>
      <c r="J1708" s="2"/>
      <c r="K1708" s="7"/>
      <c r="L1708" s="2"/>
      <c r="M1708" s="7"/>
    </row>
    <row r="1709" spans="1:13" ht="12.75">
      <c r="A1709" s="48" t="s">
        <v>424</v>
      </c>
      <c r="B1709" s="49"/>
      <c r="C1709" s="50"/>
      <c r="D1709" s="50"/>
      <c r="E1709" s="50"/>
      <c r="F1709" s="50"/>
      <c r="G1709" s="50"/>
      <c r="H1709" s="22"/>
      <c r="I1709" s="50"/>
      <c r="J1709" s="22"/>
      <c r="K1709" s="50"/>
      <c r="L1709" s="22"/>
      <c r="M1709" s="50">
        <v>33699.96</v>
      </c>
    </row>
    <row r="1710" spans="1:13" ht="13.5" thickBot="1">
      <c r="A1710" s="48" t="s">
        <v>157</v>
      </c>
      <c r="B1710" s="49"/>
      <c r="C1710" s="50"/>
      <c r="D1710" s="50"/>
      <c r="E1710" s="50">
        <f t="shared" si="38"/>
        <v>4376</v>
      </c>
      <c r="F1710" s="50"/>
      <c r="G1710" s="50">
        <v>4376</v>
      </c>
      <c r="H1710" s="22"/>
      <c r="I1710" s="50"/>
      <c r="J1710" s="22"/>
      <c r="K1710" s="50"/>
      <c r="L1710" s="22"/>
      <c r="M1710" s="50"/>
    </row>
    <row r="1711" spans="1:13" ht="13.5" thickBot="1">
      <c r="A1711" s="59" t="s">
        <v>10</v>
      </c>
      <c r="B1711" s="81"/>
      <c r="C1711" s="63"/>
      <c r="D1711" s="63"/>
      <c r="E1711" s="63">
        <f t="shared" si="38"/>
        <v>104928.20092133334</v>
      </c>
      <c r="F1711" s="63"/>
      <c r="G1711" s="63">
        <f>SUM(G1689:G1710)</f>
        <v>29052.283138</v>
      </c>
      <c r="H1711" s="26"/>
      <c r="I1711" s="63">
        <f>SUM(I1689:I1710)</f>
        <v>27817.622326000004</v>
      </c>
      <c r="J1711" s="26"/>
      <c r="K1711" s="63">
        <f>SUM(K1689:K1710)</f>
        <v>6535.125457333333</v>
      </c>
      <c r="L1711" s="26"/>
      <c r="M1711" s="29">
        <f>SUM(M1689:M1710)</f>
        <v>41523.17</v>
      </c>
    </row>
    <row r="1712" spans="1:13" ht="12.75">
      <c r="A1712" s="60" t="s">
        <v>42</v>
      </c>
      <c r="B1712" s="55"/>
      <c r="C1712" s="66"/>
      <c r="D1712" s="66"/>
      <c r="E1712" s="56">
        <f t="shared" si="38"/>
        <v>0</v>
      </c>
      <c r="F1712" s="66"/>
      <c r="G1712" s="56"/>
      <c r="H1712" s="74"/>
      <c r="I1712" s="56"/>
      <c r="J1712" s="74"/>
      <c r="K1712" s="56"/>
      <c r="L1712" s="74"/>
      <c r="M1712" s="56"/>
    </row>
    <row r="1713" spans="1:13" ht="12.75">
      <c r="A1713" s="41" t="s">
        <v>56</v>
      </c>
      <c r="B1713" s="46"/>
      <c r="C1713" s="7"/>
      <c r="D1713" s="7"/>
      <c r="E1713" s="7">
        <f t="shared" si="38"/>
        <v>0</v>
      </c>
      <c r="F1713" s="7"/>
      <c r="G1713" s="7"/>
      <c r="H1713" s="2"/>
      <c r="I1713" s="7"/>
      <c r="J1713" s="2"/>
      <c r="K1713" s="7"/>
      <c r="L1713" s="2"/>
      <c r="M1713" s="7"/>
    </row>
    <row r="1714" spans="1:13" ht="12.75">
      <c r="A1714" s="41" t="s">
        <v>156</v>
      </c>
      <c r="B1714" s="46"/>
      <c r="C1714" s="7"/>
      <c r="D1714" s="7"/>
      <c r="E1714" s="7">
        <f t="shared" si="38"/>
        <v>240</v>
      </c>
      <c r="F1714" s="7"/>
      <c r="G1714" s="7">
        <v>240</v>
      </c>
      <c r="H1714" s="2"/>
      <c r="I1714" s="7"/>
      <c r="J1714" s="2"/>
      <c r="K1714" s="7"/>
      <c r="L1714" s="2"/>
      <c r="M1714" s="7"/>
    </row>
    <row r="1715" spans="1:13" ht="13.5" thickBot="1">
      <c r="A1715" s="48" t="s">
        <v>16</v>
      </c>
      <c r="B1715" s="49"/>
      <c r="C1715" s="50"/>
      <c r="D1715" s="50"/>
      <c r="E1715" s="50">
        <f t="shared" si="38"/>
        <v>22.49742</v>
      </c>
      <c r="F1715" s="50"/>
      <c r="G1715" s="50">
        <f>0.0089*C1665</f>
        <v>22.49742</v>
      </c>
      <c r="H1715" s="22"/>
      <c r="I1715" s="50"/>
      <c r="J1715" s="22"/>
      <c r="K1715" s="50"/>
      <c r="L1715" s="22"/>
      <c r="M1715" s="50"/>
    </row>
    <row r="1716" spans="1:13" ht="13.5" thickBot="1">
      <c r="A1716" s="62" t="s">
        <v>10</v>
      </c>
      <c r="B1716" s="81"/>
      <c r="C1716" s="63"/>
      <c r="D1716" s="63"/>
      <c r="E1716" s="63">
        <f t="shared" si="38"/>
        <v>262.49742</v>
      </c>
      <c r="F1716" s="63"/>
      <c r="G1716" s="63">
        <f>SUM(G1713:G1715)</f>
        <v>262.49742</v>
      </c>
      <c r="H1716" s="26"/>
      <c r="I1716" s="63"/>
      <c r="J1716" s="26"/>
      <c r="K1716" s="63"/>
      <c r="L1716" s="26"/>
      <c r="M1716" s="29"/>
    </row>
    <row r="1717" spans="1:13" ht="13.5" thickBot="1">
      <c r="A1717" s="64" t="s">
        <v>29</v>
      </c>
      <c r="B1717" s="81"/>
      <c r="C1717" s="63"/>
      <c r="D1717" s="63"/>
      <c r="E1717" s="63">
        <f t="shared" si="38"/>
        <v>2580.12546</v>
      </c>
      <c r="F1717" s="63"/>
      <c r="G1717" s="63">
        <f>0.4236*C1665</f>
        <v>1070.77608</v>
      </c>
      <c r="H1717" s="26"/>
      <c r="I1717" s="63">
        <f>0.5971*C1665</f>
        <v>1509.34938</v>
      </c>
      <c r="J1717" s="26"/>
      <c r="K1717" s="63"/>
      <c r="L1717" s="26"/>
      <c r="M1717" s="29"/>
    </row>
    <row r="1718" spans="1:13" ht="21.75">
      <c r="A1718" s="65" t="s">
        <v>83</v>
      </c>
      <c r="B1718" s="61"/>
      <c r="C1718" s="56"/>
      <c r="D1718" s="56"/>
      <c r="E1718" s="56">
        <f t="shared" si="38"/>
        <v>227977.7826320667</v>
      </c>
      <c r="F1718" s="56"/>
      <c r="G1718" s="56">
        <f>G1687+G1711+G1716+G1717</f>
        <v>79585.36691</v>
      </c>
      <c r="H1718" s="74"/>
      <c r="I1718" s="56">
        <f>I1687+I1711+I1716+I1717</f>
        <v>82344.566174</v>
      </c>
      <c r="J1718" s="74"/>
      <c r="K1718" s="56">
        <f>K1687+K1711+K1716+K1717</f>
        <v>24524.679548066666</v>
      </c>
      <c r="L1718" s="74"/>
      <c r="M1718" s="56">
        <f>M1711</f>
        <v>41523.17</v>
      </c>
    </row>
    <row r="1719" spans="1:13" ht="33.75">
      <c r="A1719" s="67" t="s">
        <v>84</v>
      </c>
      <c r="B1719" s="46"/>
      <c r="C1719" s="7"/>
      <c r="D1719" s="7"/>
      <c r="E1719" s="8">
        <f>E1718/8/C1665</f>
        <v>11.27352750573951</v>
      </c>
      <c r="F1719" s="7"/>
      <c r="G1719" s="8">
        <f>G1718/3/C1665</f>
        <v>10.494681397526174</v>
      </c>
      <c r="H1719" s="2"/>
      <c r="I1719" s="8">
        <f>I1718/3/C1665</f>
        <v>10.858528651264605</v>
      </c>
      <c r="J1719" s="2"/>
      <c r="K1719" s="8">
        <f>K1718/1/K1665</f>
        <v>9.64710584933666</v>
      </c>
      <c r="L1719" s="2"/>
      <c r="M1719" s="8">
        <f>M1718/3/K1665</f>
        <v>5.444562016327194</v>
      </c>
    </row>
    <row r="1720" spans="1:13" ht="12.75">
      <c r="A1720" s="69" t="s">
        <v>20</v>
      </c>
      <c r="B1720" s="44"/>
      <c r="C1720" s="45"/>
      <c r="D1720" s="45"/>
      <c r="E1720" s="7">
        <f>E1670-E1718</f>
        <v>-35375.66263206667</v>
      </c>
      <c r="F1720" s="45"/>
      <c r="G1720" s="7">
        <f>G1670-G1718</f>
        <v>-15965.966909999996</v>
      </c>
      <c r="H1720" s="2"/>
      <c r="I1720" s="7">
        <f>I1670-I1718-15966</f>
        <v>-30147.58617400001</v>
      </c>
      <c r="J1720" s="2"/>
      <c r="K1720" s="7">
        <f>K1670-K1718-30148</f>
        <v>5195.170451933329</v>
      </c>
      <c r="L1720" s="2"/>
      <c r="M1720" s="7">
        <f>M1670-M1718+K1720</f>
        <v>-35376.10954806667</v>
      </c>
    </row>
    <row r="1721" spans="1:13" ht="12.75">
      <c r="A1721" s="14" t="s">
        <v>24</v>
      </c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</row>
    <row r="1722" spans="1:13" ht="12.75">
      <c r="A1722" s="14" t="s">
        <v>35</v>
      </c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</row>
    <row r="1723" spans="1:13" ht="12.75">
      <c r="A1723" s="14" t="s">
        <v>25</v>
      </c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</row>
    <row r="1724" spans="1:13" ht="12.7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</row>
    <row r="1725" spans="1:13" ht="12.7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</row>
    <row r="1726" spans="1:13" ht="12.7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</row>
    <row r="1727" spans="1:13" ht="12.7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</row>
    <row r="1728" spans="1:13" ht="12.7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</row>
    <row r="1729" spans="1:13" ht="12.7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</row>
    <row r="1730" spans="1:13" ht="12.7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</row>
    <row r="1731" spans="1:13" ht="12.7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</row>
    <row r="1732" spans="1:13" ht="12.7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</row>
    <row r="1733" spans="1:13" ht="12.7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</row>
    <row r="1734" spans="1:13" ht="12.7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</row>
    <row r="1735" spans="1:13" ht="12.7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</row>
    <row r="1736" spans="1:13" ht="12.7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</row>
    <row r="1737" spans="1:13" ht="12.7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</row>
    <row r="1738" spans="1:13" ht="12.7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</row>
    <row r="1739" spans="1:13" ht="12.7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</row>
    <row r="1740" spans="1:13" ht="12.7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</row>
    <row r="1741" spans="1:13" ht="1.5" customHeight="1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</row>
    <row r="1742" spans="1:13" ht="12.75" hidden="1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</row>
    <row r="1743" spans="1:13" ht="12.75" hidden="1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</row>
    <row r="1744" spans="1:13" ht="12.75" hidden="1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</row>
    <row r="1745" spans="1:13" ht="12.75" hidden="1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</row>
    <row r="1746" spans="1:13" ht="12.75" hidden="1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</row>
    <row r="1747" spans="1:13" ht="12.75">
      <c r="A1747" s="31" t="s">
        <v>21</v>
      </c>
      <c r="B1747" s="31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</row>
    <row r="1748" spans="1:13" ht="12.75">
      <c r="A1748" s="14" t="s">
        <v>31</v>
      </c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</row>
    <row r="1749" spans="1:13" ht="12.75">
      <c r="A1749" s="14" t="s">
        <v>41</v>
      </c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</row>
    <row r="1750" spans="1:13" ht="12.75">
      <c r="A1750" s="14" t="s">
        <v>119</v>
      </c>
      <c r="B1750" s="14"/>
      <c r="C1750" s="14"/>
      <c r="D1750" s="14"/>
      <c r="E1750" s="14" t="s">
        <v>32</v>
      </c>
      <c r="F1750" s="14"/>
      <c r="G1750" s="14"/>
      <c r="H1750" s="14"/>
      <c r="I1750" s="14"/>
      <c r="J1750" s="14"/>
      <c r="K1750" s="14"/>
      <c r="L1750" s="14"/>
      <c r="M1750" s="14"/>
    </row>
    <row r="1751" spans="1:13" ht="29.25" customHeight="1">
      <c r="A1751" s="6" t="s">
        <v>0</v>
      </c>
      <c r="B1751" s="151" t="s">
        <v>38</v>
      </c>
      <c r="C1751" s="152"/>
      <c r="D1751" s="155" t="s">
        <v>39</v>
      </c>
      <c r="E1751" s="156"/>
      <c r="F1751" s="149" t="s">
        <v>96</v>
      </c>
      <c r="G1751" s="150"/>
      <c r="H1751" s="149" t="s">
        <v>97</v>
      </c>
      <c r="I1751" s="150"/>
      <c r="J1751" s="149" t="s">
        <v>98</v>
      </c>
      <c r="K1751" s="150"/>
      <c r="L1751" s="149" t="s">
        <v>99</v>
      </c>
      <c r="M1751" s="150"/>
    </row>
    <row r="1752" spans="1:13" ht="12.75">
      <c r="A1752" s="11" t="s">
        <v>5</v>
      </c>
      <c r="B1752" s="153"/>
      <c r="C1752" s="154"/>
      <c r="D1752" s="6" t="s">
        <v>40</v>
      </c>
      <c r="E1752" s="6" t="s">
        <v>22</v>
      </c>
      <c r="F1752" s="6" t="s">
        <v>40</v>
      </c>
      <c r="G1752" s="13" t="s">
        <v>22</v>
      </c>
      <c r="H1752" s="2"/>
      <c r="I1752" s="2"/>
      <c r="J1752" s="2"/>
      <c r="K1752" s="2"/>
      <c r="L1752" s="2"/>
      <c r="M1752" s="2"/>
    </row>
    <row r="1753" spans="1:13" ht="12.75">
      <c r="A1753" s="2" t="s">
        <v>1</v>
      </c>
      <c r="B1753" s="2"/>
      <c r="C1753" s="6">
        <v>5</v>
      </c>
      <c r="D1753" s="2"/>
      <c r="E1753" s="2"/>
      <c r="F1753" s="2"/>
      <c r="G1753" s="2"/>
      <c r="H1753" s="2"/>
      <c r="I1753" s="2"/>
      <c r="J1753" s="2"/>
      <c r="K1753" s="2"/>
      <c r="L1753" s="2"/>
      <c r="M1753" s="2"/>
    </row>
    <row r="1754" spans="1:13" ht="12.75">
      <c r="A1754" s="2" t="s">
        <v>2</v>
      </c>
      <c r="B1754" s="2"/>
      <c r="C1754" s="6">
        <v>6</v>
      </c>
      <c r="D1754" s="2"/>
      <c r="E1754" s="2"/>
      <c r="F1754" s="2"/>
      <c r="G1754" s="2"/>
      <c r="H1754" s="2"/>
      <c r="I1754" s="2"/>
      <c r="J1754" s="2"/>
      <c r="K1754" s="2"/>
      <c r="L1754" s="2"/>
      <c r="M1754" s="2"/>
    </row>
    <row r="1755" spans="1:13" ht="12.75">
      <c r="A1755" s="2" t="s">
        <v>3</v>
      </c>
      <c r="B1755" s="2"/>
      <c r="C1755" s="6">
        <v>60</v>
      </c>
      <c r="D1755" s="2"/>
      <c r="E1755" s="2"/>
      <c r="F1755" s="2"/>
      <c r="G1755" s="2"/>
      <c r="H1755" s="2"/>
      <c r="I1755" s="2"/>
      <c r="J1755" s="2"/>
      <c r="K1755" s="2"/>
      <c r="L1755" s="2"/>
      <c r="M1755" s="2"/>
    </row>
    <row r="1756" spans="1:13" ht="12.75">
      <c r="A1756" s="2" t="s">
        <v>4</v>
      </c>
      <c r="B1756" s="6"/>
      <c r="C1756" s="6">
        <v>3613.85</v>
      </c>
      <c r="D1756" s="6"/>
      <c r="E1756" s="6"/>
      <c r="F1756" s="6"/>
      <c r="G1756" s="2"/>
      <c r="H1756" s="2"/>
      <c r="I1756" s="2"/>
      <c r="J1756" s="2"/>
      <c r="K1756" s="2">
        <v>3656.51</v>
      </c>
      <c r="L1756" s="2"/>
      <c r="M1756" s="2"/>
    </row>
    <row r="1757" spans="1:13" ht="21.75">
      <c r="A1757" s="35" t="s">
        <v>6</v>
      </c>
      <c r="B1757" s="11" t="s">
        <v>40</v>
      </c>
      <c r="C1757" s="2" t="s">
        <v>22</v>
      </c>
      <c r="D1757" s="2"/>
      <c r="E1757" s="2"/>
      <c r="F1757" s="2"/>
      <c r="G1757" s="2"/>
      <c r="H1757" s="2"/>
      <c r="I1757" s="2"/>
      <c r="J1757" s="2"/>
      <c r="K1757" s="2"/>
      <c r="L1757" s="2"/>
      <c r="M1757" s="2"/>
    </row>
    <row r="1758" spans="1:13" ht="22.5">
      <c r="A1758" s="40" t="s">
        <v>7</v>
      </c>
      <c r="B1758" s="3"/>
      <c r="C1758" s="6">
        <v>452942</v>
      </c>
      <c r="D1758" s="6"/>
      <c r="E1758" s="8">
        <f>G1758+I1758+K1758+M1758</f>
        <v>342834.88</v>
      </c>
      <c r="F1758" s="2"/>
      <c r="G1758" s="2">
        <v>76928.34</v>
      </c>
      <c r="H1758" s="2"/>
      <c r="I1758" s="2">
        <v>73900.92</v>
      </c>
      <c r="J1758" s="2"/>
      <c r="K1758" s="2">
        <v>95674.73</v>
      </c>
      <c r="L1758" s="2"/>
      <c r="M1758" s="2">
        <v>96330.89</v>
      </c>
    </row>
    <row r="1759" spans="1:13" ht="12.75">
      <c r="A1759" s="41" t="s">
        <v>8</v>
      </c>
      <c r="B1759" s="3"/>
      <c r="C1759" s="6"/>
      <c r="D1759" s="6"/>
      <c r="E1759" s="8">
        <f aca="true" t="shared" si="39" ref="E1759:E1817">G1759+I1759+K1759+M1759</f>
        <v>62966.86</v>
      </c>
      <c r="F1759" s="2"/>
      <c r="G1759" s="2">
        <v>6788.44</v>
      </c>
      <c r="H1759" s="2"/>
      <c r="I1759" s="2">
        <v>15642.93</v>
      </c>
      <c r="J1759" s="2"/>
      <c r="K1759" s="2">
        <v>31433.43</v>
      </c>
      <c r="L1759" s="2"/>
      <c r="M1759" s="2">
        <v>9102.06</v>
      </c>
    </row>
    <row r="1760" spans="1:13" ht="12.75">
      <c r="A1760" s="41" t="s">
        <v>9</v>
      </c>
      <c r="B1760" s="3"/>
      <c r="C1760" s="6"/>
      <c r="D1760" s="6"/>
      <c r="E1760" s="8">
        <f t="shared" si="39"/>
        <v>0</v>
      </c>
      <c r="F1760" s="2"/>
      <c r="G1760" s="2"/>
      <c r="H1760" s="2"/>
      <c r="I1760" s="2"/>
      <c r="J1760" s="2"/>
      <c r="K1760" s="2"/>
      <c r="L1760" s="2"/>
      <c r="M1760" s="2"/>
    </row>
    <row r="1761" spans="1:13" ht="12.75">
      <c r="A1761" s="2" t="s">
        <v>10</v>
      </c>
      <c r="B1761" s="42"/>
      <c r="C1761" s="11">
        <f>SUM(C1758:C1760)</f>
        <v>452942</v>
      </c>
      <c r="D1761" s="11"/>
      <c r="E1761" s="38">
        <f t="shared" si="39"/>
        <v>405801.74000000005</v>
      </c>
      <c r="F1761" s="37"/>
      <c r="G1761" s="37">
        <f>SUM(G1758:G1760)</f>
        <v>83716.78</v>
      </c>
      <c r="H1761" s="2"/>
      <c r="I1761" s="2">
        <f>SUM(I1758:I1760)</f>
        <v>89543.85</v>
      </c>
      <c r="J1761" s="2"/>
      <c r="K1761" s="2">
        <f>SUM(K1758:K1760)</f>
        <v>127108.16</v>
      </c>
      <c r="L1761" s="2"/>
      <c r="M1761" s="2">
        <f>SUM(M1758:M1760)</f>
        <v>105432.95</v>
      </c>
    </row>
    <row r="1762" spans="1:13" ht="21.75">
      <c r="A1762" s="35" t="s">
        <v>82</v>
      </c>
      <c r="B1762" s="42"/>
      <c r="C1762" s="2"/>
      <c r="D1762" s="2"/>
      <c r="E1762" s="7">
        <f t="shared" si="39"/>
        <v>0</v>
      </c>
      <c r="F1762" s="2"/>
      <c r="G1762" s="2"/>
      <c r="H1762" s="2"/>
      <c r="I1762" s="2"/>
      <c r="J1762" s="2"/>
      <c r="K1762" s="2"/>
      <c r="L1762" s="2"/>
      <c r="M1762" s="2"/>
    </row>
    <row r="1763" spans="1:13" ht="12.75">
      <c r="A1763" s="43" t="s">
        <v>11</v>
      </c>
      <c r="B1763" s="44"/>
      <c r="C1763" s="45">
        <v>92058</v>
      </c>
      <c r="D1763" s="45"/>
      <c r="E1763" s="7">
        <f t="shared" si="39"/>
        <v>118526.1370186</v>
      </c>
      <c r="F1763" s="45"/>
      <c r="G1763" s="45">
        <f>7.99407*C1756</f>
        <v>28889.3698695</v>
      </c>
      <c r="H1763" s="2"/>
      <c r="I1763" s="7">
        <f>9.57707*C1756</f>
        <v>34610.094419500005</v>
      </c>
      <c r="J1763" s="2"/>
      <c r="K1763" s="7">
        <f>7.32829*K1756</f>
        <v>26795.9656679</v>
      </c>
      <c r="L1763" s="2"/>
      <c r="M1763" s="7">
        <f>7.72067*K1756</f>
        <v>28230.707061700003</v>
      </c>
    </row>
    <row r="1764" spans="1:13" ht="12.75">
      <c r="A1764" s="43" t="s">
        <v>12</v>
      </c>
      <c r="B1764" s="46"/>
      <c r="C1764" s="7"/>
      <c r="D1764" s="7"/>
      <c r="E1764" s="7">
        <f t="shared" si="39"/>
        <v>0</v>
      </c>
      <c r="F1764" s="7"/>
      <c r="G1764" s="7"/>
      <c r="H1764" s="2"/>
      <c r="I1764" s="7"/>
      <c r="J1764" s="2"/>
      <c r="K1764" s="7"/>
      <c r="L1764" s="2"/>
      <c r="M1764" s="7"/>
    </row>
    <row r="1765" spans="1:13" ht="12.75">
      <c r="A1765" s="41" t="s">
        <v>13</v>
      </c>
      <c r="B1765" s="46"/>
      <c r="C1765" s="7">
        <f>C1766+C1768+C1769+C1770+C1771+C1772+C1773+C1774+C1775+C1776+C1777+C1778+C1779</f>
        <v>161369</v>
      </c>
      <c r="D1765" s="7"/>
      <c r="E1765" s="7">
        <f t="shared" si="39"/>
        <v>137010.31340090002</v>
      </c>
      <c r="F1765" s="7"/>
      <c r="G1765" s="7">
        <f>G1766+G1768+G1769+G1770+G1771+G1772+G1773+G1774+G1775+G1777+G1779</f>
        <v>34343.841154500005</v>
      </c>
      <c r="H1765" s="2"/>
      <c r="I1765" s="7">
        <f>I1766+I1768+I1769+I1770+I1771+I1772+I1773+I1774+I1775+I1776+I1777+I1778+I1779</f>
        <v>33816.6773765</v>
      </c>
      <c r="J1765" s="2"/>
      <c r="K1765" s="7">
        <f>K1766+K1768+K1769+K1770+K1771+K1772+K1773+K1774+K1775+K1776+K1777+K1778+K1779</f>
        <v>39954.794869900004</v>
      </c>
      <c r="L1765" s="2"/>
      <c r="M1765" s="7">
        <v>28895</v>
      </c>
    </row>
    <row r="1766" spans="1:13" ht="22.5">
      <c r="A1766" s="47" t="s">
        <v>14</v>
      </c>
      <c r="B1766" s="46" t="s">
        <v>176</v>
      </c>
      <c r="C1766" s="71">
        <v>112913</v>
      </c>
      <c r="D1766" s="7"/>
      <c r="E1766" s="7">
        <f t="shared" si="39"/>
        <v>123388</v>
      </c>
      <c r="F1766" s="7"/>
      <c r="G1766" s="7">
        <v>31990</v>
      </c>
      <c r="H1766" s="2"/>
      <c r="I1766" s="7">
        <v>30920</v>
      </c>
      <c r="J1766" s="2"/>
      <c r="K1766" s="7">
        <v>32650</v>
      </c>
      <c r="L1766" s="2"/>
      <c r="M1766" s="7">
        <v>27828</v>
      </c>
    </row>
    <row r="1767" spans="1:13" ht="22.5">
      <c r="A1767" s="41" t="s">
        <v>19</v>
      </c>
      <c r="B1767" s="46" t="s">
        <v>177</v>
      </c>
      <c r="C1767" s="71">
        <v>84145</v>
      </c>
      <c r="D1767" s="7"/>
      <c r="E1767" s="7">
        <f t="shared" si="39"/>
        <v>79719.99</v>
      </c>
      <c r="F1767" s="7"/>
      <c r="G1767" s="7">
        <v>19939.99</v>
      </c>
      <c r="H1767" s="2"/>
      <c r="I1767" s="7">
        <v>19940</v>
      </c>
      <c r="J1767" s="2"/>
      <c r="K1767" s="7">
        <v>19920</v>
      </c>
      <c r="L1767" s="2"/>
      <c r="M1767" s="7">
        <v>19920</v>
      </c>
    </row>
    <row r="1768" spans="1:13" ht="12.75">
      <c r="A1768" s="41" t="s">
        <v>18</v>
      </c>
      <c r="B1768" s="46" t="s">
        <v>194</v>
      </c>
      <c r="C1768" s="7">
        <v>1612</v>
      </c>
      <c r="D1768" s="7"/>
      <c r="E1768" s="7">
        <f t="shared" si="39"/>
        <v>1342.81</v>
      </c>
      <c r="F1768" s="7"/>
      <c r="G1768" s="7">
        <v>210.56</v>
      </c>
      <c r="H1768" s="2"/>
      <c r="I1768" s="7">
        <v>296.34</v>
      </c>
      <c r="J1768" s="2"/>
      <c r="K1768" s="7">
        <v>401.28</v>
      </c>
      <c r="L1768" s="2"/>
      <c r="M1768" s="7">
        <v>434.63</v>
      </c>
    </row>
    <row r="1769" spans="1:13" ht="12.75">
      <c r="A1769" s="41" t="s">
        <v>53</v>
      </c>
      <c r="B1769" s="46"/>
      <c r="C1769" s="7">
        <v>7402</v>
      </c>
      <c r="D1769" s="7"/>
      <c r="E1769" s="7">
        <f t="shared" si="39"/>
        <v>6989.2753659</v>
      </c>
      <c r="F1769" s="7"/>
      <c r="G1769" s="7">
        <f>0.54857*C1756</f>
        <v>1982.4496944999999</v>
      </c>
      <c r="H1769" s="2"/>
      <c r="I1769" s="7">
        <f>0.53049*C1756</f>
        <v>1917.1112865</v>
      </c>
      <c r="J1769" s="2"/>
      <c r="K1769" s="7">
        <f>0.60599*K1756</f>
        <v>2215.8084949000004</v>
      </c>
      <c r="L1769" s="2"/>
      <c r="M1769" s="7">
        <f>0.239*K1756</f>
        <v>873.90589</v>
      </c>
    </row>
    <row r="1770" spans="1:13" ht="22.5">
      <c r="A1770" s="41" t="s">
        <v>148</v>
      </c>
      <c r="B1770" s="46" t="s">
        <v>192</v>
      </c>
      <c r="C1770" s="7">
        <v>2441</v>
      </c>
      <c r="D1770" s="7"/>
      <c r="E1770" s="7">
        <f t="shared" si="39"/>
        <v>255</v>
      </c>
      <c r="F1770" s="7"/>
      <c r="G1770" s="7">
        <v>90</v>
      </c>
      <c r="H1770" s="2"/>
      <c r="I1770" s="7">
        <v>165</v>
      </c>
      <c r="J1770" s="2"/>
      <c r="K1770" s="7"/>
      <c r="L1770" s="2"/>
      <c r="M1770" s="7"/>
    </row>
    <row r="1771" spans="1:13" ht="12.75">
      <c r="A1771" s="41" t="s">
        <v>27</v>
      </c>
      <c r="B1771" s="46" t="s">
        <v>188</v>
      </c>
      <c r="C1771" s="7">
        <v>65</v>
      </c>
      <c r="D1771" s="7"/>
      <c r="E1771" s="7">
        <f t="shared" si="39"/>
        <v>270.67736499999995</v>
      </c>
      <c r="F1771" s="7"/>
      <c r="G1771" s="7"/>
      <c r="H1771" s="2"/>
      <c r="I1771" s="7">
        <f>0.0749*C1756</f>
        <v>270.67736499999995</v>
      </c>
      <c r="J1771" s="2"/>
      <c r="K1771" s="7"/>
      <c r="L1771" s="2"/>
      <c r="M1771" s="7"/>
    </row>
    <row r="1772" spans="1:13" ht="22.5">
      <c r="A1772" s="41" t="s">
        <v>36</v>
      </c>
      <c r="B1772" s="46" t="s">
        <v>187</v>
      </c>
      <c r="C1772" s="7">
        <v>7242</v>
      </c>
      <c r="D1772" s="7"/>
      <c r="E1772" s="7">
        <f t="shared" si="39"/>
        <v>4642</v>
      </c>
      <c r="F1772" s="7"/>
      <c r="G1772" s="7"/>
      <c r="H1772" s="2"/>
      <c r="I1772" s="7"/>
      <c r="J1772" s="2" t="s">
        <v>327</v>
      </c>
      <c r="K1772" s="7">
        <v>4642</v>
      </c>
      <c r="L1772" s="2"/>
      <c r="M1772" s="7"/>
    </row>
    <row r="1773" spans="1:13" ht="22.5">
      <c r="A1773" s="41" t="s">
        <v>58</v>
      </c>
      <c r="B1773" s="46" t="s">
        <v>193</v>
      </c>
      <c r="C1773" s="7">
        <v>12204</v>
      </c>
      <c r="D1773" s="7"/>
      <c r="E1773" s="7">
        <f t="shared" si="39"/>
        <v>0</v>
      </c>
      <c r="F1773" s="7"/>
      <c r="G1773" s="7"/>
      <c r="H1773" s="2"/>
      <c r="I1773" s="7"/>
      <c r="J1773" s="2"/>
      <c r="K1773" s="7"/>
      <c r="L1773" s="2"/>
      <c r="M1773" s="7"/>
    </row>
    <row r="1774" spans="1:13" ht="12.75">
      <c r="A1774" s="41" t="s">
        <v>43</v>
      </c>
      <c r="B1774" s="46"/>
      <c r="C1774" s="7"/>
      <c r="D1774" s="7"/>
      <c r="E1774" s="7">
        <f t="shared" si="39"/>
        <v>0</v>
      </c>
      <c r="F1774" s="7"/>
      <c r="G1774" s="7"/>
      <c r="H1774" s="2"/>
      <c r="I1774" s="7"/>
      <c r="J1774" s="2"/>
      <c r="K1774" s="7"/>
      <c r="L1774" s="2"/>
      <c r="M1774" s="7"/>
    </row>
    <row r="1775" spans="1:13" ht="12.75">
      <c r="A1775" s="41" t="s">
        <v>30</v>
      </c>
      <c r="B1775" s="46"/>
      <c r="C1775" s="7">
        <v>3437</v>
      </c>
      <c r="D1775" s="7"/>
      <c r="E1775" s="7">
        <f t="shared" si="39"/>
        <v>0</v>
      </c>
      <c r="F1775" s="7"/>
      <c r="G1775" s="7"/>
      <c r="H1775" s="2"/>
      <c r="I1775" s="7"/>
      <c r="J1775" s="2"/>
      <c r="K1775" s="7"/>
      <c r="L1775" s="2"/>
      <c r="M1775" s="7"/>
    </row>
    <row r="1776" spans="1:13" ht="12.75">
      <c r="A1776" s="41" t="s">
        <v>185</v>
      </c>
      <c r="B1776" s="46" t="s">
        <v>186</v>
      </c>
      <c r="C1776" s="7">
        <v>9481</v>
      </c>
      <c r="D1776" s="7"/>
      <c r="E1776" s="7">
        <f t="shared" si="39"/>
        <v>0</v>
      </c>
      <c r="F1776" s="7"/>
      <c r="G1776" s="7"/>
      <c r="H1776" s="2"/>
      <c r="I1776" s="7"/>
      <c r="J1776" s="2"/>
      <c r="K1776" s="7"/>
      <c r="L1776" s="2"/>
      <c r="M1776" s="7"/>
    </row>
    <row r="1777" spans="1:13" ht="12.75">
      <c r="A1777" s="41" t="s">
        <v>54</v>
      </c>
      <c r="B1777" s="46"/>
      <c r="C1777" s="7">
        <v>241</v>
      </c>
      <c r="D1777" s="7"/>
      <c r="E1777" s="7">
        <f t="shared" si="39"/>
        <v>70.83145999999999</v>
      </c>
      <c r="F1777" s="7"/>
      <c r="G1777" s="7">
        <f>0.0196*C1756</f>
        <v>70.83145999999999</v>
      </c>
      <c r="H1777" s="2"/>
      <c r="I1777" s="7"/>
      <c r="J1777" s="2"/>
      <c r="K1777" s="7"/>
      <c r="L1777" s="2"/>
      <c r="M1777" s="7"/>
    </row>
    <row r="1778" spans="1:13" ht="22.5">
      <c r="A1778" s="41">
        <v>48</v>
      </c>
      <c r="B1778" s="46" t="s">
        <v>189</v>
      </c>
      <c r="C1778" s="7">
        <v>71</v>
      </c>
      <c r="D1778" s="7"/>
      <c r="E1778" s="7">
        <f t="shared" si="39"/>
        <v>0</v>
      </c>
      <c r="F1778" s="7"/>
      <c r="G1778" s="7"/>
      <c r="H1778" s="2"/>
      <c r="I1778" s="7"/>
      <c r="J1778" s="2"/>
      <c r="K1778" s="7"/>
      <c r="L1778" s="2"/>
      <c r="M1778" s="7"/>
    </row>
    <row r="1779" spans="1:13" ht="13.5" thickBot="1">
      <c r="A1779" s="48" t="s">
        <v>55</v>
      </c>
      <c r="B1779" s="49"/>
      <c r="C1779" s="50">
        <v>4260</v>
      </c>
      <c r="D1779" s="50"/>
      <c r="E1779" s="7">
        <f t="shared" si="39"/>
        <v>293.2551</v>
      </c>
      <c r="F1779" s="50"/>
      <c r="G1779" s="50"/>
      <c r="H1779" s="22"/>
      <c r="I1779" s="50">
        <f>0.0685*C1756</f>
        <v>247.54872500000002</v>
      </c>
      <c r="J1779" s="22"/>
      <c r="K1779" s="50">
        <f>0.0125*K1756</f>
        <v>45.70637500000001</v>
      </c>
      <c r="L1779" s="22"/>
      <c r="M1779" s="50">
        <v>0</v>
      </c>
    </row>
    <row r="1780" spans="1:13" ht="13.5" thickBot="1">
      <c r="A1780" s="51" t="s">
        <v>76</v>
      </c>
      <c r="B1780" s="81"/>
      <c r="C1780" s="53">
        <f>C1763+C1765</f>
        <v>253427</v>
      </c>
      <c r="D1780" s="63"/>
      <c r="E1780" s="63">
        <f t="shared" si="39"/>
        <v>255536.45041950003</v>
      </c>
      <c r="F1780" s="63"/>
      <c r="G1780" s="63">
        <f>G1763+G1765</f>
        <v>63233.211024000004</v>
      </c>
      <c r="H1780" s="26"/>
      <c r="I1780" s="63">
        <f>I1763+I1765</f>
        <v>68426.77179600002</v>
      </c>
      <c r="J1780" s="26"/>
      <c r="K1780" s="63">
        <f>K1763+K1765</f>
        <v>66750.7605378</v>
      </c>
      <c r="L1780" s="26"/>
      <c r="M1780" s="29">
        <f>M1763+M1765</f>
        <v>57125.7070617</v>
      </c>
    </row>
    <row r="1781" spans="1:13" ht="16.5" customHeight="1">
      <c r="A1781" s="54" t="s">
        <v>15</v>
      </c>
      <c r="B1781" s="55"/>
      <c r="C1781" s="66"/>
      <c r="D1781" s="66"/>
      <c r="E1781" s="56">
        <f t="shared" si="39"/>
        <v>0</v>
      </c>
      <c r="F1781" s="66"/>
      <c r="G1781" s="56"/>
      <c r="H1781" s="74"/>
      <c r="I1781" s="56"/>
      <c r="J1781" s="74"/>
      <c r="K1781" s="56"/>
      <c r="L1781" s="74"/>
      <c r="M1781" s="56"/>
    </row>
    <row r="1782" spans="1:13" ht="22.5">
      <c r="A1782" s="41" t="s">
        <v>17</v>
      </c>
      <c r="B1782" s="46" t="s">
        <v>178</v>
      </c>
      <c r="C1782" s="7">
        <v>86579</v>
      </c>
      <c r="D1782" s="7"/>
      <c r="E1782" s="7">
        <f t="shared" si="39"/>
        <v>102788.2587853</v>
      </c>
      <c r="F1782" s="7"/>
      <c r="G1782" s="7">
        <f>6.73321*C1756</f>
        <v>24332.8109585</v>
      </c>
      <c r="H1782" s="2"/>
      <c r="I1782" s="7">
        <f>7.02207*C1756</f>
        <v>25376.7076695</v>
      </c>
      <c r="J1782" s="2"/>
      <c r="K1782" s="7">
        <f>7.2754*K1756</f>
        <v>26602.572854000002</v>
      </c>
      <c r="L1782" s="2"/>
      <c r="M1782" s="7">
        <f>7.24083*K1756</f>
        <v>26476.1673033</v>
      </c>
    </row>
    <row r="1783" spans="1:13" ht="22.5">
      <c r="A1783" s="41" t="s">
        <v>334</v>
      </c>
      <c r="B1783" s="46" t="s">
        <v>180</v>
      </c>
      <c r="C1783" s="71">
        <v>2161</v>
      </c>
      <c r="D1783" s="7"/>
      <c r="E1783" s="7">
        <f t="shared" si="39"/>
        <v>26682</v>
      </c>
      <c r="F1783" s="7"/>
      <c r="G1783" s="7"/>
      <c r="H1783" s="2"/>
      <c r="I1783" s="7"/>
      <c r="J1783" s="2" t="s">
        <v>326</v>
      </c>
      <c r="K1783" s="7">
        <v>26682</v>
      </c>
      <c r="L1783" s="2"/>
      <c r="M1783" s="7"/>
    </row>
    <row r="1784" spans="1:13" ht="12.75">
      <c r="A1784" s="41" t="s">
        <v>67</v>
      </c>
      <c r="B1784" s="46" t="s">
        <v>182</v>
      </c>
      <c r="C1784" s="7">
        <v>14252</v>
      </c>
      <c r="D1784" s="7"/>
      <c r="E1784" s="7">
        <f t="shared" si="39"/>
        <v>770</v>
      </c>
      <c r="F1784" s="7"/>
      <c r="G1784" s="7"/>
      <c r="H1784" s="2"/>
      <c r="I1784" s="7"/>
      <c r="J1784" s="2"/>
      <c r="K1784" s="7">
        <v>770</v>
      </c>
      <c r="L1784" s="2"/>
      <c r="M1784" s="7"/>
    </row>
    <row r="1785" spans="1:13" ht="12.75">
      <c r="A1785" s="41" t="s">
        <v>68</v>
      </c>
      <c r="B1785" s="46" t="s">
        <v>184</v>
      </c>
      <c r="C1785" s="7">
        <v>898</v>
      </c>
      <c r="D1785" s="7"/>
      <c r="E1785" s="7">
        <f t="shared" si="39"/>
        <v>504</v>
      </c>
      <c r="F1785" s="7"/>
      <c r="G1785" s="7"/>
      <c r="H1785" s="2"/>
      <c r="I1785" s="7">
        <v>504</v>
      </c>
      <c r="J1785" s="2"/>
      <c r="K1785" s="7"/>
      <c r="L1785" s="2"/>
      <c r="M1785" s="7"/>
    </row>
    <row r="1786" spans="1:13" ht="12.75">
      <c r="A1786" s="41" t="s">
        <v>69</v>
      </c>
      <c r="B1786" s="46" t="s">
        <v>183</v>
      </c>
      <c r="C1786" s="7">
        <v>26077</v>
      </c>
      <c r="D1786" s="7"/>
      <c r="E1786" s="7">
        <f t="shared" si="39"/>
        <v>0</v>
      </c>
      <c r="F1786" s="7"/>
      <c r="G1786" s="7"/>
      <c r="H1786" s="2"/>
      <c r="I1786" s="7"/>
      <c r="J1786" s="2"/>
      <c r="K1786" s="7"/>
      <c r="L1786" s="2"/>
      <c r="M1786" s="7"/>
    </row>
    <row r="1787" spans="1:13" ht="12.75">
      <c r="A1787" s="41" t="s">
        <v>26</v>
      </c>
      <c r="B1787" s="46"/>
      <c r="C1787" s="7">
        <v>134</v>
      </c>
      <c r="D1787" s="7"/>
      <c r="E1787" s="7">
        <f t="shared" si="39"/>
        <v>305</v>
      </c>
      <c r="F1787" s="7"/>
      <c r="G1787" s="7"/>
      <c r="H1787" s="2"/>
      <c r="I1787" s="7"/>
      <c r="J1787" s="2"/>
      <c r="K1787" s="7"/>
      <c r="L1787" s="2"/>
      <c r="M1787" s="7">
        <v>305</v>
      </c>
    </row>
    <row r="1788" spans="1:13" ht="12.75">
      <c r="A1788" s="41" t="s">
        <v>28</v>
      </c>
      <c r="B1788" s="46"/>
      <c r="C1788" s="7">
        <v>450</v>
      </c>
      <c r="D1788" s="7"/>
      <c r="E1788" s="7">
        <f t="shared" si="39"/>
        <v>2401</v>
      </c>
      <c r="F1788" s="7"/>
      <c r="G1788" s="7">
        <v>2191</v>
      </c>
      <c r="H1788" s="2"/>
      <c r="I1788" s="7"/>
      <c r="J1788" s="2"/>
      <c r="K1788" s="7"/>
      <c r="L1788" s="2"/>
      <c r="M1788" s="7">
        <v>210</v>
      </c>
    </row>
    <row r="1789" spans="1:13" ht="12.75">
      <c r="A1789" s="41" t="s">
        <v>411</v>
      </c>
      <c r="B1789" s="46"/>
      <c r="C1789" s="7"/>
      <c r="D1789" s="7"/>
      <c r="E1789" s="7">
        <f t="shared" si="39"/>
        <v>443.7</v>
      </c>
      <c r="F1789" s="7"/>
      <c r="G1789" s="7"/>
      <c r="H1789" s="2"/>
      <c r="I1789" s="7"/>
      <c r="J1789" s="2"/>
      <c r="K1789" s="7"/>
      <c r="L1789" s="2"/>
      <c r="M1789" s="7">
        <v>443.7</v>
      </c>
    </row>
    <row r="1790" spans="1:13" ht="12.75">
      <c r="A1790" s="41" t="s">
        <v>425</v>
      </c>
      <c r="B1790" s="46"/>
      <c r="C1790" s="7"/>
      <c r="D1790" s="7"/>
      <c r="E1790" s="7">
        <f t="shared" si="39"/>
        <v>20821.76</v>
      </c>
      <c r="F1790" s="7"/>
      <c r="G1790" s="7"/>
      <c r="H1790" s="2"/>
      <c r="I1790" s="7"/>
      <c r="J1790" s="2"/>
      <c r="K1790" s="7"/>
      <c r="L1790" s="2"/>
      <c r="M1790" s="7">
        <v>20821.76</v>
      </c>
    </row>
    <row r="1791" spans="1:13" ht="12.75">
      <c r="A1791" s="41" t="s">
        <v>426</v>
      </c>
      <c r="B1791" s="46"/>
      <c r="C1791" s="7">
        <v>18531</v>
      </c>
      <c r="D1791" s="7"/>
      <c r="E1791" s="7">
        <f t="shared" si="39"/>
        <v>28885.68</v>
      </c>
      <c r="F1791" s="7"/>
      <c r="G1791" s="7"/>
      <c r="H1791" s="2"/>
      <c r="I1791" s="7"/>
      <c r="J1791" s="2"/>
      <c r="K1791" s="7"/>
      <c r="L1791" s="2"/>
      <c r="M1791" s="7">
        <v>28885.68</v>
      </c>
    </row>
    <row r="1792" spans="1:13" ht="12.75">
      <c r="A1792" s="41" t="s">
        <v>427</v>
      </c>
      <c r="B1792" s="46"/>
      <c r="C1792" s="7"/>
      <c r="D1792" s="7"/>
      <c r="E1792" s="7">
        <f t="shared" si="39"/>
        <v>17405</v>
      </c>
      <c r="F1792" s="7"/>
      <c r="G1792" s="7"/>
      <c r="H1792" s="2"/>
      <c r="I1792" s="7"/>
      <c r="J1792" s="2"/>
      <c r="K1792" s="7">
        <v>1381</v>
      </c>
      <c r="L1792" s="2"/>
      <c r="M1792" s="7">
        <v>16024</v>
      </c>
    </row>
    <row r="1793" spans="1:13" ht="12.75">
      <c r="A1793" s="41" t="s">
        <v>329</v>
      </c>
      <c r="B1793" s="46"/>
      <c r="C1793" s="7"/>
      <c r="D1793" s="7"/>
      <c r="E1793" s="7">
        <f t="shared" si="39"/>
        <v>3237</v>
      </c>
      <c r="F1793" s="7"/>
      <c r="G1793" s="7"/>
      <c r="H1793" s="2"/>
      <c r="I1793" s="7"/>
      <c r="J1793" s="2"/>
      <c r="K1793" s="7">
        <v>3237</v>
      </c>
      <c r="L1793" s="2"/>
      <c r="M1793" s="7"/>
    </row>
    <row r="1794" spans="1:13" ht="12.75">
      <c r="A1794" s="41" t="s">
        <v>66</v>
      </c>
      <c r="B1794" s="46"/>
      <c r="C1794" s="7">
        <v>904</v>
      </c>
      <c r="D1794" s="7"/>
      <c r="E1794" s="7">
        <f t="shared" si="39"/>
        <v>0</v>
      </c>
      <c r="F1794" s="7"/>
      <c r="G1794" s="7"/>
      <c r="H1794" s="2"/>
      <c r="I1794" s="7"/>
      <c r="J1794" s="2"/>
      <c r="K1794" s="7"/>
      <c r="L1794" s="2"/>
      <c r="M1794" s="7"/>
    </row>
    <row r="1795" spans="1:13" ht="12.75">
      <c r="A1795" s="41" t="s">
        <v>396</v>
      </c>
      <c r="B1795" s="46"/>
      <c r="C1795" s="7"/>
      <c r="D1795" s="7"/>
      <c r="E1795" s="7">
        <f t="shared" si="39"/>
        <v>110</v>
      </c>
      <c r="F1795" s="7"/>
      <c r="G1795" s="7"/>
      <c r="H1795" s="2"/>
      <c r="I1795" s="7"/>
      <c r="J1795" s="2"/>
      <c r="K1795" s="7"/>
      <c r="L1795" s="2"/>
      <c r="M1795" s="7">
        <v>110</v>
      </c>
    </row>
    <row r="1796" spans="1:13" ht="12.75">
      <c r="A1796" s="41" t="s">
        <v>157</v>
      </c>
      <c r="B1796" s="46"/>
      <c r="C1796" s="7">
        <v>2119</v>
      </c>
      <c r="D1796" s="7"/>
      <c r="E1796" s="7">
        <f t="shared" si="39"/>
        <v>0</v>
      </c>
      <c r="F1796" s="7"/>
      <c r="G1796" s="7"/>
      <c r="H1796" s="2"/>
      <c r="I1796" s="7"/>
      <c r="J1796" s="2"/>
      <c r="K1796" s="7"/>
      <c r="L1796" s="2"/>
      <c r="M1796" s="7"/>
    </row>
    <row r="1797" spans="1:13" ht="12.75">
      <c r="A1797" s="41" t="s">
        <v>181</v>
      </c>
      <c r="B1797" s="46"/>
      <c r="C1797" s="7">
        <v>4146</v>
      </c>
      <c r="D1797" s="7"/>
      <c r="E1797" s="7">
        <f t="shared" si="39"/>
        <v>0</v>
      </c>
      <c r="F1797" s="7"/>
      <c r="G1797" s="7"/>
      <c r="H1797" s="2"/>
      <c r="I1797" s="7"/>
      <c r="J1797" s="2"/>
      <c r="K1797" s="7"/>
      <c r="L1797" s="2"/>
      <c r="M1797" s="7"/>
    </row>
    <row r="1798" spans="1:13" ht="12.75">
      <c r="A1798" s="41" t="s">
        <v>333</v>
      </c>
      <c r="B1798" s="46"/>
      <c r="C1798" s="7"/>
      <c r="D1798" s="7"/>
      <c r="E1798" s="7">
        <f t="shared" si="39"/>
        <v>224</v>
      </c>
      <c r="F1798" s="7"/>
      <c r="G1798" s="7"/>
      <c r="H1798" s="2"/>
      <c r="I1798" s="7"/>
      <c r="J1798" s="2"/>
      <c r="K1798" s="7">
        <v>224</v>
      </c>
      <c r="L1798" s="2"/>
      <c r="M1798" s="7"/>
    </row>
    <row r="1799" spans="1:13" ht="12.75">
      <c r="A1799" s="41" t="s">
        <v>51</v>
      </c>
      <c r="B1799" s="46"/>
      <c r="C1799" s="7">
        <v>4528</v>
      </c>
      <c r="D1799" s="7"/>
      <c r="E1799" s="7">
        <f t="shared" si="39"/>
        <v>2555.51</v>
      </c>
      <c r="F1799" s="7"/>
      <c r="G1799" s="7"/>
      <c r="H1799" s="2"/>
      <c r="I1799" s="7">
        <v>2555.51</v>
      </c>
      <c r="J1799" s="2"/>
      <c r="K1799" s="7"/>
      <c r="L1799" s="2"/>
      <c r="M1799" s="7"/>
    </row>
    <row r="1800" spans="1:13" ht="12.75">
      <c r="A1800" s="58" t="s">
        <v>52</v>
      </c>
      <c r="B1800" s="46"/>
      <c r="C1800" s="7">
        <v>2255</v>
      </c>
      <c r="D1800" s="7"/>
      <c r="E1800" s="7">
        <f t="shared" si="39"/>
        <v>0</v>
      </c>
      <c r="F1800" s="7"/>
      <c r="G1800" s="7"/>
      <c r="H1800" s="2"/>
      <c r="I1800" s="7"/>
      <c r="J1800" s="2"/>
      <c r="K1800" s="7"/>
      <c r="L1800" s="2"/>
      <c r="M1800" s="7"/>
    </row>
    <row r="1801" spans="1:13" ht="22.5">
      <c r="A1801" s="41" t="s">
        <v>80</v>
      </c>
      <c r="B1801" s="46" t="s">
        <v>179</v>
      </c>
      <c r="C1801" s="7">
        <v>2150</v>
      </c>
      <c r="D1801" s="7"/>
      <c r="E1801" s="7">
        <f t="shared" si="39"/>
        <v>0</v>
      </c>
      <c r="F1801" s="7"/>
      <c r="G1801" s="7"/>
      <c r="H1801" s="2"/>
      <c r="I1801" s="7"/>
      <c r="J1801" s="2"/>
      <c r="K1801" s="7"/>
      <c r="L1801" s="2"/>
      <c r="M1801" s="7"/>
    </row>
    <row r="1802" spans="1:13" ht="12.75">
      <c r="A1802" s="41" t="s">
        <v>331</v>
      </c>
      <c r="B1802" s="46"/>
      <c r="C1802" s="7"/>
      <c r="D1802" s="7"/>
      <c r="E1802" s="7">
        <f t="shared" si="39"/>
        <v>4490</v>
      </c>
      <c r="F1802" s="7"/>
      <c r="G1802" s="7"/>
      <c r="H1802" s="2"/>
      <c r="I1802" s="7"/>
      <c r="J1802" s="2"/>
      <c r="K1802" s="7">
        <v>4490</v>
      </c>
      <c r="L1802" s="2"/>
      <c r="M1802" s="7"/>
    </row>
    <row r="1803" spans="1:13" ht="12.75">
      <c r="A1803" s="41" t="s">
        <v>328</v>
      </c>
      <c r="B1803" s="46"/>
      <c r="C1803" s="7"/>
      <c r="D1803" s="7"/>
      <c r="E1803" s="7">
        <f t="shared" si="39"/>
        <v>20000</v>
      </c>
      <c r="F1803" s="7"/>
      <c r="G1803" s="7"/>
      <c r="H1803" s="2"/>
      <c r="I1803" s="7"/>
      <c r="J1803" s="2"/>
      <c r="K1803" s="7">
        <v>20000</v>
      </c>
      <c r="L1803" s="2"/>
      <c r="M1803" s="7"/>
    </row>
    <row r="1804" spans="1:13" ht="12.75">
      <c r="A1804" s="41" t="s">
        <v>332</v>
      </c>
      <c r="B1804" s="46"/>
      <c r="C1804" s="7"/>
      <c r="D1804" s="7"/>
      <c r="E1804" s="7">
        <f t="shared" si="39"/>
        <v>1750</v>
      </c>
      <c r="F1804" s="7"/>
      <c r="G1804" s="7"/>
      <c r="H1804" s="2"/>
      <c r="I1804" s="7"/>
      <c r="J1804" s="2"/>
      <c r="K1804" s="7">
        <v>1750</v>
      </c>
      <c r="L1804" s="2"/>
      <c r="M1804" s="7"/>
    </row>
    <row r="1805" spans="1:13" ht="12.75">
      <c r="A1805" s="41" t="s">
        <v>335</v>
      </c>
      <c r="B1805" s="46"/>
      <c r="C1805" s="7"/>
      <c r="D1805" s="7"/>
      <c r="E1805" s="7">
        <f t="shared" si="39"/>
        <v>300</v>
      </c>
      <c r="F1805" s="7"/>
      <c r="G1805" s="7"/>
      <c r="H1805" s="2"/>
      <c r="I1805" s="7"/>
      <c r="J1805" s="2"/>
      <c r="K1805" s="7">
        <v>300</v>
      </c>
      <c r="L1805" s="2"/>
      <c r="M1805" s="7"/>
    </row>
    <row r="1806" spans="1:13" ht="12.75">
      <c r="A1806" s="41" t="s">
        <v>57</v>
      </c>
      <c r="B1806" s="46" t="s">
        <v>191</v>
      </c>
      <c r="C1806" s="7">
        <v>11800</v>
      </c>
      <c r="D1806" s="7"/>
      <c r="E1806" s="7">
        <f t="shared" si="39"/>
        <v>25.658335</v>
      </c>
      <c r="F1806" s="7"/>
      <c r="G1806" s="7"/>
      <c r="H1806" s="2"/>
      <c r="I1806" s="7">
        <f>0.0071*C1756</f>
        <v>25.658335</v>
      </c>
      <c r="J1806" s="2"/>
      <c r="K1806" s="7"/>
      <c r="L1806" s="2"/>
      <c r="M1806" s="7"/>
    </row>
    <row r="1807" spans="1:13" ht="22.5">
      <c r="A1807" s="41" t="s">
        <v>33</v>
      </c>
      <c r="B1807" s="46" t="s">
        <v>190</v>
      </c>
      <c r="C1807" s="7">
        <v>15430</v>
      </c>
      <c r="D1807" s="7"/>
      <c r="E1807" s="7">
        <f t="shared" si="39"/>
        <v>3162</v>
      </c>
      <c r="F1807" s="15"/>
      <c r="G1807" s="7"/>
      <c r="H1807" s="2"/>
      <c r="I1807" s="7"/>
      <c r="J1807" s="2"/>
      <c r="K1807" s="7"/>
      <c r="L1807" s="2"/>
      <c r="M1807" s="7">
        <v>3162</v>
      </c>
    </row>
    <row r="1808" spans="1:13" ht="12.75">
      <c r="A1808" s="41" t="s">
        <v>50</v>
      </c>
      <c r="B1808" s="46"/>
      <c r="C1808" s="7">
        <v>1336</v>
      </c>
      <c r="D1808" s="7"/>
      <c r="E1808" s="7">
        <f t="shared" si="39"/>
        <v>3973.773202</v>
      </c>
      <c r="F1808" s="7"/>
      <c r="G1808" s="7">
        <f>0.2455*C1756</f>
        <v>887.200175</v>
      </c>
      <c r="H1808" s="2"/>
      <c r="I1808" s="7">
        <f>0.5802*C1756</f>
        <v>2096.75577</v>
      </c>
      <c r="J1808" s="2"/>
      <c r="K1808" s="7">
        <f>0.1437*K1756</f>
        <v>525.440487</v>
      </c>
      <c r="L1808" s="2"/>
      <c r="M1808" s="7">
        <f>0.127*K1756</f>
        <v>464.37677</v>
      </c>
    </row>
    <row r="1809" spans="1:13" ht="13.5" thickBot="1">
      <c r="A1809" s="48" t="s">
        <v>54</v>
      </c>
      <c r="B1809" s="49"/>
      <c r="C1809" s="50">
        <v>304</v>
      </c>
      <c r="D1809" s="50"/>
      <c r="E1809" s="7">
        <f t="shared" si="39"/>
        <v>112.28775999999999</v>
      </c>
      <c r="F1809" s="50"/>
      <c r="G1809" s="50"/>
      <c r="H1809" s="22"/>
      <c r="I1809" s="50">
        <f>0.0078*C1756</f>
        <v>28.188029999999998</v>
      </c>
      <c r="J1809" s="22"/>
      <c r="K1809" s="50">
        <f>0.011*K1756</f>
        <v>40.22161</v>
      </c>
      <c r="L1809" s="22"/>
      <c r="M1809" s="50">
        <f>0.012*K1756</f>
        <v>43.87812</v>
      </c>
    </row>
    <row r="1810" spans="1:13" ht="13.5" thickBot="1">
      <c r="A1810" s="59" t="s">
        <v>10</v>
      </c>
      <c r="B1810" s="81"/>
      <c r="C1810" s="53">
        <f>SUM(C1782:C1809)</f>
        <v>194054</v>
      </c>
      <c r="D1810" s="63"/>
      <c r="E1810" s="63">
        <f t="shared" si="39"/>
        <v>240946.6280823</v>
      </c>
      <c r="F1810" s="63"/>
      <c r="G1810" s="63">
        <f>SUM(G1782:G1809)</f>
        <v>27411.011133499997</v>
      </c>
      <c r="H1810" s="26"/>
      <c r="I1810" s="63">
        <f>SUM(I1782:I1809)</f>
        <v>30586.819804500003</v>
      </c>
      <c r="J1810" s="26"/>
      <c r="K1810" s="63">
        <f>SUM(K1782:K1809)</f>
        <v>86002.23495099999</v>
      </c>
      <c r="L1810" s="26"/>
      <c r="M1810" s="29">
        <f>SUM(M1782:M1809)</f>
        <v>96946.56219330001</v>
      </c>
    </row>
    <row r="1811" spans="1:13" ht="12.75">
      <c r="A1811" s="60" t="s">
        <v>42</v>
      </c>
      <c r="B1811" s="55"/>
      <c r="C1811" s="66"/>
      <c r="D1811" s="66"/>
      <c r="E1811" s="56">
        <f t="shared" si="39"/>
        <v>0</v>
      </c>
      <c r="F1811" s="66"/>
      <c r="G1811" s="56"/>
      <c r="H1811" s="74"/>
      <c r="I1811" s="56"/>
      <c r="J1811" s="74"/>
      <c r="K1811" s="56"/>
      <c r="L1811" s="74"/>
      <c r="M1811" s="56"/>
    </row>
    <row r="1812" spans="1:13" ht="12.75">
      <c r="A1812" s="41" t="s">
        <v>56</v>
      </c>
      <c r="B1812" s="46"/>
      <c r="C1812" s="7">
        <v>638</v>
      </c>
      <c r="D1812" s="7"/>
      <c r="E1812" s="7">
        <f t="shared" si="39"/>
        <v>0</v>
      </c>
      <c r="F1812" s="7"/>
      <c r="G1812" s="7"/>
      <c r="H1812" s="2"/>
      <c r="I1812" s="7"/>
      <c r="J1812" s="2"/>
      <c r="K1812" s="7"/>
      <c r="L1812" s="2"/>
      <c r="M1812" s="7"/>
    </row>
    <row r="1813" spans="1:13" ht="12.75">
      <c r="A1813" s="48" t="s">
        <v>330</v>
      </c>
      <c r="B1813" s="49"/>
      <c r="C1813" s="50"/>
      <c r="D1813" s="50"/>
      <c r="E1813" s="7">
        <f t="shared" si="39"/>
        <v>600</v>
      </c>
      <c r="F1813" s="50"/>
      <c r="G1813" s="50"/>
      <c r="H1813" s="22"/>
      <c r="I1813" s="50"/>
      <c r="J1813" s="22"/>
      <c r="K1813" s="50">
        <v>600</v>
      </c>
      <c r="L1813" s="22"/>
      <c r="M1813" s="50"/>
    </row>
    <row r="1814" spans="1:13" ht="13.5" thickBot="1">
      <c r="A1814" s="48" t="s">
        <v>16</v>
      </c>
      <c r="B1814" s="49"/>
      <c r="C1814" s="50">
        <v>225</v>
      </c>
      <c r="D1814" s="50"/>
      <c r="E1814" s="7">
        <f t="shared" si="39"/>
        <v>130.157733</v>
      </c>
      <c r="F1814" s="50"/>
      <c r="G1814" s="50">
        <f>0.0089*C1756</f>
        <v>32.163264999999996</v>
      </c>
      <c r="H1814" s="22"/>
      <c r="I1814" s="50"/>
      <c r="J1814" s="22"/>
      <c r="K1814" s="50"/>
      <c r="L1814" s="22"/>
      <c r="M1814" s="50">
        <f>0.0268*K1756</f>
        <v>97.99446800000001</v>
      </c>
    </row>
    <row r="1815" spans="1:13" ht="13.5" thickBot="1">
      <c r="A1815" s="62" t="s">
        <v>10</v>
      </c>
      <c r="B1815" s="81"/>
      <c r="C1815" s="63">
        <f>SUM(C1812:C1814)</f>
        <v>863</v>
      </c>
      <c r="D1815" s="63"/>
      <c r="E1815" s="63">
        <f t="shared" si="39"/>
        <v>730.157733</v>
      </c>
      <c r="F1815" s="63"/>
      <c r="G1815" s="63">
        <f>SUM(G1812:G1814)</f>
        <v>32.163264999999996</v>
      </c>
      <c r="H1815" s="26"/>
      <c r="I1815" s="63"/>
      <c r="J1815" s="26"/>
      <c r="K1815" s="63">
        <f>SUM(K1812:K1814)</f>
        <v>600</v>
      </c>
      <c r="L1815" s="26"/>
      <c r="M1815" s="29">
        <f>SUM(M1812:M1814)</f>
        <v>97.99446800000001</v>
      </c>
    </row>
    <row r="1816" spans="1:13" ht="13.5" thickBot="1">
      <c r="A1816" s="64" t="s">
        <v>29</v>
      </c>
      <c r="B1816" s="81"/>
      <c r="C1816" s="63">
        <v>4598</v>
      </c>
      <c r="D1816" s="63"/>
      <c r="E1816" s="63">
        <f t="shared" si="39"/>
        <v>8339.737415</v>
      </c>
      <c r="F1816" s="63"/>
      <c r="G1816" s="63">
        <f>0.4236*C1756</f>
        <v>1530.82686</v>
      </c>
      <c r="H1816" s="26"/>
      <c r="I1816" s="63">
        <f>0.5971*C1756</f>
        <v>2157.829835</v>
      </c>
      <c r="J1816" s="26"/>
      <c r="K1816" s="63"/>
      <c r="L1816" s="26"/>
      <c r="M1816" s="29">
        <f>1.272*K1756</f>
        <v>4651.08072</v>
      </c>
    </row>
    <row r="1817" spans="1:13" ht="21.75">
      <c r="A1817" s="65" t="s">
        <v>83</v>
      </c>
      <c r="B1817" s="61"/>
      <c r="C1817" s="56">
        <f>C1780+C1810+C1815+C1816</f>
        <v>452942</v>
      </c>
      <c r="D1817" s="56"/>
      <c r="E1817" s="56">
        <f t="shared" si="39"/>
        <v>505552.9736498</v>
      </c>
      <c r="F1817" s="56"/>
      <c r="G1817" s="56">
        <f>G1780+G1810+G1815+G1816</f>
        <v>92207.2122825</v>
      </c>
      <c r="H1817" s="74"/>
      <c r="I1817" s="56">
        <f>I1780+I1810+I1815+I1816</f>
        <v>101171.42143550001</v>
      </c>
      <c r="J1817" s="74"/>
      <c r="K1817" s="56">
        <f>K1780+K1810+K1815+K1816</f>
        <v>153352.9954888</v>
      </c>
      <c r="L1817" s="74"/>
      <c r="M1817" s="56">
        <f>M1780+M1810+M1815+M1816</f>
        <v>158821.34444299998</v>
      </c>
    </row>
    <row r="1818" spans="1:13" ht="33" customHeight="1">
      <c r="A1818" s="67" t="s">
        <v>84</v>
      </c>
      <c r="B1818" s="82"/>
      <c r="C1818" s="71"/>
      <c r="D1818" s="71"/>
      <c r="E1818" s="9">
        <f>E1817/12/C1756</f>
        <v>11.657765117759913</v>
      </c>
      <c r="F1818" s="71"/>
      <c r="G1818" s="9">
        <f>G1817/3/C1756</f>
        <v>8.504984276464159</v>
      </c>
      <c r="H1818" s="104"/>
      <c r="I1818" s="9">
        <f>I1817/3/C1756</f>
        <v>9.331822611665308</v>
      </c>
      <c r="J1818" s="104"/>
      <c r="K1818" s="9">
        <f>K1817/3/K1756</f>
        <v>13.979905746991893</v>
      </c>
      <c r="L1818" s="104"/>
      <c r="M1818" s="9">
        <f>M1817/3/K1756</f>
        <v>14.478409233850492</v>
      </c>
    </row>
    <row r="1819" spans="1:13" ht="12.75">
      <c r="A1819" s="69" t="s">
        <v>20</v>
      </c>
      <c r="B1819" s="44"/>
      <c r="C1819" s="45">
        <v>0</v>
      </c>
      <c r="D1819" s="45"/>
      <c r="E1819" s="7">
        <f>E1761-E1817</f>
        <v>-99751.23364979995</v>
      </c>
      <c r="F1819" s="45"/>
      <c r="G1819" s="7">
        <f>G1761-G1817</f>
        <v>-8490.432282499998</v>
      </c>
      <c r="H1819" s="2"/>
      <c r="I1819" s="7">
        <f>I1761-I1817-8490</f>
        <v>-20117.57143550001</v>
      </c>
      <c r="J1819" s="2"/>
      <c r="K1819" s="7">
        <f>K1761-K1817-20118</f>
        <v>-46362.83548879999</v>
      </c>
      <c r="L1819" s="2"/>
      <c r="M1819" s="7">
        <f>M1761-M1817-46363</f>
        <v>-99751.39444299998</v>
      </c>
    </row>
    <row r="1820" spans="1:13" ht="12.75">
      <c r="A1820" s="14" t="s">
        <v>24</v>
      </c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</row>
    <row r="1821" spans="1:13" ht="12.75">
      <c r="A1821" s="14" t="s">
        <v>195</v>
      </c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</row>
    <row r="1822" spans="1:13" ht="24" customHeight="1">
      <c r="A1822" s="14" t="s">
        <v>196</v>
      </c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</row>
    <row r="1823" spans="1:13" ht="12.75" hidden="1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</row>
    <row r="1824" spans="1:13" ht="2.25" customHeight="1" hidden="1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</row>
    <row r="1825" spans="1:13" ht="12.75" hidden="1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</row>
    <row r="1826" spans="1:13" ht="12.75" hidden="1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</row>
    <row r="1827" spans="1:13" ht="12.75" hidden="1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</row>
    <row r="1828" spans="1:13" ht="12.75" hidden="1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</row>
    <row r="1829" spans="1:13" ht="12.75" hidden="1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</row>
    <row r="1830" spans="1:13" ht="12.75" hidden="1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</row>
    <row r="1831" spans="1:13" ht="12.75" hidden="1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</row>
    <row r="1832" spans="1:13" ht="12.75" hidden="1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</row>
    <row r="1833" spans="1:13" ht="12.75" hidden="1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</row>
    <row r="1834" spans="1:13" ht="12.75" hidden="1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</row>
    <row r="1835" spans="1:13" ht="12.75" hidden="1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</row>
    <row r="1836" spans="1:13" ht="12.75" hidden="1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</row>
    <row r="1837" spans="1:13" ht="12.75" hidden="1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</row>
    <row r="1838" spans="1:13" ht="12.75" hidden="1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</row>
    <row r="1839" spans="1:13" ht="12.75" hidden="1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</row>
    <row r="1840" spans="1:13" ht="12.75" hidden="1">
      <c r="A1840" s="14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</row>
    <row r="1841" spans="1:13" ht="12.75" hidden="1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</row>
    <row r="1842" spans="1:13" ht="12.75" hidden="1">
      <c r="A1842" s="14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</row>
    <row r="1843" spans="1:13" ht="12.75" hidden="1">
      <c r="A1843" s="14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</row>
    <row r="1844" spans="1:13" ht="12.75" hidden="1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</row>
    <row r="1845" spans="1:13" ht="12.75" hidden="1">
      <c r="A1845" s="14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</row>
    <row r="1846" spans="1:13" ht="12.75">
      <c r="A1846" s="31" t="s">
        <v>21</v>
      </c>
      <c r="B1846" s="31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</row>
    <row r="1847" spans="1:13" ht="12.75">
      <c r="A1847" s="14" t="s">
        <v>31</v>
      </c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</row>
    <row r="1848" spans="1:13" ht="12.75">
      <c r="A1848" s="14" t="s">
        <v>41</v>
      </c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</row>
    <row r="1849" spans="1:13" ht="12.75">
      <c r="A1849" s="14" t="s">
        <v>120</v>
      </c>
      <c r="B1849" s="14"/>
      <c r="C1849" s="14"/>
      <c r="D1849" s="14"/>
      <c r="E1849" s="14" t="s">
        <v>32</v>
      </c>
      <c r="F1849" s="14"/>
      <c r="G1849" s="14"/>
      <c r="H1849" s="14"/>
      <c r="I1849" s="14"/>
      <c r="J1849" s="14"/>
      <c r="K1849" s="14"/>
      <c r="L1849" s="14"/>
      <c r="M1849" s="14"/>
    </row>
    <row r="1850" spans="1:13" ht="12.75" customHeight="1">
      <c r="A1850" s="6" t="s">
        <v>0</v>
      </c>
      <c r="B1850" s="151" t="s">
        <v>38</v>
      </c>
      <c r="C1850" s="152"/>
      <c r="D1850" s="149" t="s">
        <v>39</v>
      </c>
      <c r="E1850" s="150"/>
      <c r="F1850" s="149" t="s">
        <v>96</v>
      </c>
      <c r="G1850" s="150"/>
      <c r="H1850" s="149" t="s">
        <v>97</v>
      </c>
      <c r="I1850" s="150"/>
      <c r="J1850" s="149" t="s">
        <v>98</v>
      </c>
      <c r="K1850" s="150"/>
      <c r="L1850" s="149" t="s">
        <v>99</v>
      </c>
      <c r="M1850" s="150"/>
    </row>
    <row r="1851" spans="1:13" ht="12.75">
      <c r="A1851" s="11" t="s">
        <v>5</v>
      </c>
      <c r="B1851" s="153"/>
      <c r="C1851" s="154"/>
      <c r="D1851" s="6" t="s">
        <v>40</v>
      </c>
      <c r="E1851" s="6" t="s">
        <v>22</v>
      </c>
      <c r="F1851" s="6" t="s">
        <v>40</v>
      </c>
      <c r="G1851" s="13" t="s">
        <v>22</v>
      </c>
      <c r="H1851" s="2"/>
      <c r="I1851" s="2"/>
      <c r="J1851" s="2"/>
      <c r="K1851" s="2"/>
      <c r="L1851" s="2"/>
      <c r="M1851" s="2"/>
    </row>
    <row r="1852" spans="1:13" ht="12.75">
      <c r="A1852" s="2" t="s">
        <v>1</v>
      </c>
      <c r="B1852" s="2"/>
      <c r="C1852" s="6">
        <v>5</v>
      </c>
      <c r="D1852" s="2"/>
      <c r="E1852" s="2"/>
      <c r="F1852" s="2"/>
      <c r="G1852" s="2"/>
      <c r="H1852" s="2"/>
      <c r="I1852" s="2"/>
      <c r="J1852" s="2"/>
      <c r="K1852" s="2"/>
      <c r="L1852" s="2"/>
      <c r="M1852" s="2"/>
    </row>
    <row r="1853" spans="1:13" ht="12.75">
      <c r="A1853" s="2" t="s">
        <v>2</v>
      </c>
      <c r="B1853" s="2"/>
      <c r="C1853" s="6">
        <v>6</v>
      </c>
      <c r="D1853" s="2"/>
      <c r="E1853" s="2"/>
      <c r="F1853" s="2"/>
      <c r="G1853" s="2"/>
      <c r="H1853" s="2"/>
      <c r="I1853" s="2"/>
      <c r="J1853" s="2"/>
      <c r="K1853" s="2"/>
      <c r="L1853" s="2"/>
      <c r="M1853" s="2"/>
    </row>
    <row r="1854" spans="1:13" ht="12.75">
      <c r="A1854" s="2" t="s">
        <v>3</v>
      </c>
      <c r="B1854" s="2"/>
      <c r="C1854" s="6">
        <v>60</v>
      </c>
      <c r="D1854" s="2"/>
      <c r="E1854" s="2"/>
      <c r="F1854" s="2"/>
      <c r="G1854" s="2"/>
      <c r="H1854" s="2"/>
      <c r="I1854" s="2"/>
      <c r="J1854" s="2"/>
      <c r="K1854" s="2"/>
      <c r="L1854" s="2"/>
      <c r="M1854" s="2"/>
    </row>
    <row r="1855" spans="1:13" ht="12.75">
      <c r="A1855" s="2" t="s">
        <v>4</v>
      </c>
      <c r="B1855" s="6"/>
      <c r="C1855" s="6">
        <v>3661.15</v>
      </c>
      <c r="D1855" s="6"/>
      <c r="E1855" s="6"/>
      <c r="F1855" s="6"/>
      <c r="G1855" s="2"/>
      <c r="H1855" s="2"/>
      <c r="I1855" s="2"/>
      <c r="J1855" s="2"/>
      <c r="K1855" s="2">
        <v>3607.4</v>
      </c>
      <c r="L1855" s="2"/>
      <c r="M1855" s="2"/>
    </row>
    <row r="1856" spans="1:13" ht="21.75">
      <c r="A1856" s="35" t="s">
        <v>6</v>
      </c>
      <c r="B1856" s="11" t="s">
        <v>40</v>
      </c>
      <c r="C1856" s="2" t="s">
        <v>22</v>
      </c>
      <c r="D1856" s="2"/>
      <c r="E1856" s="2"/>
      <c r="F1856" s="2"/>
      <c r="G1856" s="2"/>
      <c r="H1856" s="2"/>
      <c r="I1856" s="2"/>
      <c r="J1856" s="2"/>
      <c r="K1856" s="2"/>
      <c r="L1856" s="2"/>
      <c r="M1856" s="2"/>
    </row>
    <row r="1857" spans="1:13" ht="22.5">
      <c r="A1857" s="40" t="s">
        <v>7</v>
      </c>
      <c r="B1857" s="3"/>
      <c r="C1857" s="6"/>
      <c r="D1857" s="6"/>
      <c r="E1857" s="8">
        <f>G1857+I1857+K1857+M1857</f>
        <v>389126.48</v>
      </c>
      <c r="F1857" s="2"/>
      <c r="G1857" s="2">
        <v>109364.97</v>
      </c>
      <c r="H1857" s="2"/>
      <c r="I1857" s="2">
        <v>82061.73</v>
      </c>
      <c r="J1857" s="2"/>
      <c r="K1857" s="2">
        <v>97562.12</v>
      </c>
      <c r="L1857" s="2"/>
      <c r="M1857" s="2">
        <v>100137.66</v>
      </c>
    </row>
    <row r="1858" spans="1:13" ht="12.75">
      <c r="A1858" s="41" t="s">
        <v>8</v>
      </c>
      <c r="B1858" s="3"/>
      <c r="C1858" s="6"/>
      <c r="D1858" s="6"/>
      <c r="E1858" s="6"/>
      <c r="F1858" s="2"/>
      <c r="G1858" s="2"/>
      <c r="H1858" s="2"/>
      <c r="I1858" s="2"/>
      <c r="J1858" s="2"/>
      <c r="K1858" s="2"/>
      <c r="L1858" s="2"/>
      <c r="M1858" s="2"/>
    </row>
    <row r="1859" spans="1:13" ht="12.75">
      <c r="A1859" s="41" t="s">
        <v>9</v>
      </c>
      <c r="B1859" s="3"/>
      <c r="C1859" s="6"/>
      <c r="D1859" s="6"/>
      <c r="E1859" s="6"/>
      <c r="F1859" s="2"/>
      <c r="G1859" s="2"/>
      <c r="H1859" s="2"/>
      <c r="I1859" s="2"/>
      <c r="J1859" s="2"/>
      <c r="K1859" s="2"/>
      <c r="L1859" s="2"/>
      <c r="M1859" s="2"/>
    </row>
    <row r="1860" spans="1:13" ht="12.75">
      <c r="A1860" s="2" t="s">
        <v>10</v>
      </c>
      <c r="B1860" s="42"/>
      <c r="C1860" s="11"/>
      <c r="D1860" s="11"/>
      <c r="E1860" s="38">
        <f>SUM(E1857:E1859)</f>
        <v>389126.48</v>
      </c>
      <c r="F1860" s="37"/>
      <c r="G1860" s="37">
        <f>SUM(G1857:G1859)</f>
        <v>109364.97</v>
      </c>
      <c r="H1860" s="2"/>
      <c r="I1860" s="2">
        <f>SUM(I1857:I1859)</f>
        <v>82061.73</v>
      </c>
      <c r="J1860" s="2"/>
      <c r="K1860" s="2">
        <f>SUM(K1857:K1859)</f>
        <v>97562.12</v>
      </c>
      <c r="L1860" s="2"/>
      <c r="M1860" s="2">
        <f>SUM(M1857:M1859)</f>
        <v>100137.66</v>
      </c>
    </row>
    <row r="1861" spans="1:13" ht="21.75">
      <c r="A1861" s="35" t="s">
        <v>82</v>
      </c>
      <c r="B1861" s="4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</row>
    <row r="1862" spans="1:13" ht="12.75">
      <c r="A1862" s="43" t="s">
        <v>11</v>
      </c>
      <c r="B1862" s="44"/>
      <c r="C1862" s="45"/>
      <c r="D1862" s="45"/>
      <c r="E1862" s="45">
        <f>G1862+I1862+K1862+M1862</f>
        <v>118618.197515</v>
      </c>
      <c r="F1862" s="45"/>
      <c r="G1862" s="45">
        <f>7.99407*C1855</f>
        <v>29267.4893805</v>
      </c>
      <c r="H1862" s="2"/>
      <c r="I1862" s="7">
        <f>9.57707*C1855</f>
        <v>35063.0898305</v>
      </c>
      <c r="J1862" s="2"/>
      <c r="K1862" s="7">
        <f>7.32829*K1855</f>
        <v>26436.073346</v>
      </c>
      <c r="L1862" s="2"/>
      <c r="M1862" s="7">
        <f>7.72067*K1855</f>
        <v>27851.544958000002</v>
      </c>
    </row>
    <row r="1863" spans="1:13" ht="12.75">
      <c r="A1863" s="43" t="s">
        <v>12</v>
      </c>
      <c r="B1863" s="46"/>
      <c r="C1863" s="7"/>
      <c r="D1863" s="7"/>
      <c r="E1863" s="7">
        <f aca="true" t="shared" si="40" ref="E1863:E1909">G1863+I1863+K1863+M1863</f>
        <v>0</v>
      </c>
      <c r="F1863" s="7"/>
      <c r="G1863" s="7"/>
      <c r="H1863" s="2"/>
      <c r="I1863" s="7"/>
      <c r="J1863" s="2"/>
      <c r="K1863" s="7"/>
      <c r="L1863" s="2"/>
      <c r="M1863" s="7"/>
    </row>
    <row r="1864" spans="1:13" ht="12.75">
      <c r="A1864" s="41" t="s">
        <v>13</v>
      </c>
      <c r="B1864" s="46"/>
      <c r="C1864" s="7"/>
      <c r="D1864" s="7"/>
      <c r="E1864" s="7">
        <f t="shared" si="40"/>
        <v>139222.117395</v>
      </c>
      <c r="F1864" s="7"/>
      <c r="G1864" s="7">
        <f>G1865+G1867+G1868+G1869+G1871+G1872+G1873+G1874+G1875+G1876+G1877</f>
        <v>34576.4055955</v>
      </c>
      <c r="H1864" s="2"/>
      <c r="I1864" s="7">
        <f>I1865+I1867+I1868+I1869+I1871+I1872+I1873+I1874+I1875+I1876+I1877</f>
        <v>34237.11237350001</v>
      </c>
      <c r="J1864" s="2"/>
      <c r="K1864" s="7">
        <f>K1865+K1867+K1868+K1869+K1870+K1871+K1872+K1873+K1874+K1875+K1876+K1877</f>
        <v>40925.430826</v>
      </c>
      <c r="L1864" s="2"/>
      <c r="M1864" s="7">
        <f>M1865+M1867+M1868+M1869+M1870+M1871+M1872+M1873+M1874+M1875+M1876+M1877</f>
        <v>29483.1686</v>
      </c>
    </row>
    <row r="1865" spans="1:13" ht="12.75">
      <c r="A1865" s="47" t="s">
        <v>14</v>
      </c>
      <c r="B1865" s="46"/>
      <c r="C1865" s="71"/>
      <c r="D1865" s="7"/>
      <c r="E1865" s="7">
        <f t="shared" si="40"/>
        <v>123878</v>
      </c>
      <c r="F1865" s="7"/>
      <c r="G1865" s="7">
        <v>32148</v>
      </c>
      <c r="H1865" s="2"/>
      <c r="I1865" s="7">
        <v>31064</v>
      </c>
      <c r="J1865" s="2"/>
      <c r="K1865" s="7">
        <v>32479</v>
      </c>
      <c r="L1865" s="2"/>
      <c r="M1865" s="7">
        <v>28187</v>
      </c>
    </row>
    <row r="1866" spans="1:13" ht="12.75">
      <c r="A1866" s="41" t="s">
        <v>19</v>
      </c>
      <c r="B1866" s="46"/>
      <c r="C1866" s="71"/>
      <c r="D1866" s="7"/>
      <c r="E1866" s="7">
        <f t="shared" si="40"/>
        <v>79720</v>
      </c>
      <c r="F1866" s="7"/>
      <c r="G1866" s="7">
        <v>19940</v>
      </c>
      <c r="H1866" s="2"/>
      <c r="I1866" s="7">
        <v>19940</v>
      </c>
      <c r="J1866" s="2"/>
      <c r="K1866" s="7">
        <v>19920</v>
      </c>
      <c r="L1866" s="2"/>
      <c r="M1866" s="7">
        <v>19920</v>
      </c>
    </row>
    <row r="1867" spans="1:13" ht="12.75">
      <c r="A1867" s="41" t="s">
        <v>18</v>
      </c>
      <c r="B1867" s="46"/>
      <c r="C1867" s="7"/>
      <c r="D1867" s="7"/>
      <c r="E1867" s="7">
        <f t="shared" si="40"/>
        <v>1340.84</v>
      </c>
      <c r="F1867" s="7"/>
      <c r="G1867" s="7">
        <v>210.25</v>
      </c>
      <c r="H1867" s="2"/>
      <c r="I1867" s="7">
        <v>295.9</v>
      </c>
      <c r="J1867" s="2"/>
      <c r="K1867" s="7">
        <v>400.69</v>
      </c>
      <c r="L1867" s="2"/>
      <c r="M1867" s="7">
        <v>434</v>
      </c>
    </row>
    <row r="1868" spans="1:13" ht="12.75">
      <c r="A1868" s="41" t="s">
        <v>53</v>
      </c>
      <c r="B1868" s="46"/>
      <c r="C1868" s="7"/>
      <c r="D1868" s="7"/>
      <c r="E1868" s="7">
        <f t="shared" si="40"/>
        <v>6998.817445</v>
      </c>
      <c r="F1868" s="7"/>
      <c r="G1868" s="7">
        <f>0.54857*C1855</f>
        <v>2008.3970555</v>
      </c>
      <c r="H1868" s="2"/>
      <c r="I1868" s="7">
        <f>0.53049*C1855</f>
        <v>1942.2034635</v>
      </c>
      <c r="J1868" s="2"/>
      <c r="K1868" s="7">
        <f>0.60599*K1855</f>
        <v>2186.048326</v>
      </c>
      <c r="L1868" s="2"/>
      <c r="M1868" s="7">
        <f>0.239*K1855</f>
        <v>862.1686</v>
      </c>
    </row>
    <row r="1869" spans="1:13" ht="12.75">
      <c r="A1869" s="41" t="s">
        <v>148</v>
      </c>
      <c r="B1869" s="46"/>
      <c r="C1869" s="7"/>
      <c r="D1869" s="7"/>
      <c r="E1869" s="7">
        <f t="shared" si="40"/>
        <v>303</v>
      </c>
      <c r="F1869" s="7"/>
      <c r="G1869" s="7">
        <v>138</v>
      </c>
      <c r="H1869" s="2"/>
      <c r="I1869" s="7">
        <v>165</v>
      </c>
      <c r="J1869" s="2"/>
      <c r="K1869" s="7"/>
      <c r="L1869" s="2"/>
      <c r="M1869" s="7"/>
    </row>
    <row r="1870" spans="1:13" ht="12.75">
      <c r="A1870" s="41" t="s">
        <v>248</v>
      </c>
      <c r="B1870" s="46"/>
      <c r="C1870" s="7"/>
      <c r="D1870" s="7"/>
      <c r="E1870" s="7"/>
      <c r="F1870" s="7"/>
      <c r="G1870" s="7"/>
      <c r="H1870" s="2"/>
      <c r="I1870" s="7"/>
      <c r="J1870" s="2"/>
      <c r="K1870" s="7">
        <v>3493.6</v>
      </c>
      <c r="L1870" s="2"/>
      <c r="M1870" s="7"/>
    </row>
    <row r="1871" spans="1:13" ht="12.75">
      <c r="A1871" s="41" t="s">
        <v>27</v>
      </c>
      <c r="B1871" s="46"/>
      <c r="C1871" s="7"/>
      <c r="D1871" s="7"/>
      <c r="E1871" s="7">
        <f t="shared" si="40"/>
        <v>274.22013499999997</v>
      </c>
      <c r="F1871" s="7"/>
      <c r="G1871" s="7"/>
      <c r="H1871" s="2"/>
      <c r="I1871" s="7">
        <f>0.0749*C1855</f>
        <v>274.22013499999997</v>
      </c>
      <c r="J1871" s="2"/>
      <c r="K1871" s="7"/>
      <c r="L1871" s="2"/>
      <c r="M1871" s="7"/>
    </row>
    <row r="1872" spans="1:13" ht="12.75">
      <c r="A1872" s="41" t="s">
        <v>36</v>
      </c>
      <c r="B1872" s="46"/>
      <c r="C1872" s="7"/>
      <c r="D1872" s="7"/>
      <c r="E1872" s="7">
        <f t="shared" si="40"/>
        <v>2566</v>
      </c>
      <c r="F1872" s="7"/>
      <c r="G1872" s="7"/>
      <c r="H1872" s="2" t="s">
        <v>243</v>
      </c>
      <c r="I1872" s="7">
        <v>245</v>
      </c>
      <c r="J1872" s="2" t="s">
        <v>325</v>
      </c>
      <c r="K1872" s="7">
        <v>2321</v>
      </c>
      <c r="L1872" s="2"/>
      <c r="M1872" s="7"/>
    </row>
    <row r="1873" spans="1:13" ht="12.75">
      <c r="A1873" s="41" t="s">
        <v>58</v>
      </c>
      <c r="B1873" s="46"/>
      <c r="C1873" s="7"/>
      <c r="D1873" s="7"/>
      <c r="E1873" s="7">
        <f t="shared" si="40"/>
        <v>0</v>
      </c>
      <c r="F1873" s="7"/>
      <c r="G1873" s="7"/>
      <c r="H1873" s="2"/>
      <c r="I1873" s="7"/>
      <c r="J1873" s="2"/>
      <c r="K1873" s="7"/>
      <c r="L1873" s="2"/>
      <c r="M1873" s="7"/>
    </row>
    <row r="1874" spans="1:13" ht="12.75">
      <c r="A1874" s="41" t="s">
        <v>43</v>
      </c>
      <c r="B1874" s="46"/>
      <c r="C1874" s="7"/>
      <c r="D1874" s="7"/>
      <c r="E1874" s="7">
        <f t="shared" si="40"/>
        <v>0</v>
      </c>
      <c r="F1874" s="7"/>
      <c r="G1874" s="7"/>
      <c r="H1874" s="2"/>
      <c r="I1874" s="7"/>
      <c r="J1874" s="2"/>
      <c r="K1874" s="7"/>
      <c r="L1874" s="2"/>
      <c r="M1874" s="7"/>
    </row>
    <row r="1875" spans="1:13" ht="12.75">
      <c r="A1875" s="41" t="s">
        <v>30</v>
      </c>
      <c r="B1875" s="46"/>
      <c r="C1875" s="7"/>
      <c r="D1875" s="7"/>
      <c r="E1875" s="7">
        <f t="shared" si="40"/>
        <v>0</v>
      </c>
      <c r="F1875" s="7"/>
      <c r="G1875" s="7"/>
      <c r="H1875" s="2"/>
      <c r="I1875" s="7"/>
      <c r="J1875" s="2"/>
      <c r="K1875" s="7"/>
      <c r="L1875" s="2"/>
      <c r="M1875" s="7"/>
    </row>
    <row r="1876" spans="1:13" ht="12.75">
      <c r="A1876" s="41" t="s">
        <v>54</v>
      </c>
      <c r="B1876" s="46"/>
      <c r="C1876" s="7"/>
      <c r="D1876" s="7"/>
      <c r="E1876" s="7">
        <f t="shared" si="40"/>
        <v>71.75854</v>
      </c>
      <c r="F1876" s="7"/>
      <c r="G1876" s="7">
        <f>0.0196*C1855</f>
        <v>71.75854</v>
      </c>
      <c r="H1876" s="2"/>
      <c r="I1876" s="7"/>
      <c r="J1876" s="2"/>
      <c r="K1876" s="7"/>
      <c r="L1876" s="2"/>
      <c r="M1876" s="7"/>
    </row>
    <row r="1877" spans="1:13" ht="13.5" thickBot="1">
      <c r="A1877" s="48" t="s">
        <v>55</v>
      </c>
      <c r="B1877" s="49"/>
      <c r="C1877" s="50"/>
      <c r="D1877" s="50"/>
      <c r="E1877" s="50">
        <f t="shared" si="40"/>
        <v>295.881275</v>
      </c>
      <c r="F1877" s="50"/>
      <c r="G1877" s="50"/>
      <c r="H1877" s="22"/>
      <c r="I1877" s="50">
        <f>0.0685*C1855</f>
        <v>250.78877500000002</v>
      </c>
      <c r="J1877" s="22"/>
      <c r="K1877" s="50">
        <f>0.0125*K1855</f>
        <v>45.0925</v>
      </c>
      <c r="L1877" s="22"/>
      <c r="M1877" s="50"/>
    </row>
    <row r="1878" spans="1:13" ht="13.5" thickBot="1">
      <c r="A1878" s="106" t="s">
        <v>76</v>
      </c>
      <c r="B1878" s="81"/>
      <c r="C1878" s="63"/>
      <c r="D1878" s="63"/>
      <c r="E1878" s="63">
        <f t="shared" si="40"/>
        <v>257840.31490999996</v>
      </c>
      <c r="F1878" s="63"/>
      <c r="G1878" s="63">
        <f>G1862+G1864</f>
        <v>63843.894975999996</v>
      </c>
      <c r="H1878" s="26"/>
      <c r="I1878" s="63">
        <f>I1862+I1864</f>
        <v>69300.202204</v>
      </c>
      <c r="J1878" s="26"/>
      <c r="K1878" s="63">
        <f>K1862+K1864</f>
        <v>67361.504172</v>
      </c>
      <c r="L1878" s="26"/>
      <c r="M1878" s="29">
        <f>M1862+M1864</f>
        <v>57334.713558</v>
      </c>
    </row>
    <row r="1879" spans="1:13" ht="21.75">
      <c r="A1879" s="54" t="s">
        <v>15</v>
      </c>
      <c r="B1879" s="55"/>
      <c r="C1879" s="66"/>
      <c r="D1879" s="66"/>
      <c r="E1879" s="56">
        <f t="shared" si="40"/>
        <v>0</v>
      </c>
      <c r="F1879" s="66"/>
      <c r="G1879" s="56"/>
      <c r="H1879" s="74"/>
      <c r="I1879" s="56"/>
      <c r="J1879" s="74"/>
      <c r="K1879" s="56"/>
      <c r="L1879" s="74"/>
      <c r="M1879" s="56"/>
    </row>
    <row r="1880" spans="1:13" ht="12.75">
      <c r="A1880" s="41" t="s">
        <v>17</v>
      </c>
      <c r="B1880" s="46"/>
      <c r="C1880" s="7"/>
      <c r="D1880" s="7"/>
      <c r="E1880" s="7">
        <f t="shared" si="40"/>
        <v>102725.99147400001</v>
      </c>
      <c r="F1880" s="7"/>
      <c r="G1880" s="7">
        <f>6.73321*C1855</f>
        <v>24651.2917915</v>
      </c>
      <c r="H1880" s="2"/>
      <c r="I1880" s="7">
        <f>7.02207*C1855</f>
        <v>25708.851580500002</v>
      </c>
      <c r="J1880" s="2"/>
      <c r="K1880" s="7">
        <f>7.2754*K1855</f>
        <v>26245.277960000003</v>
      </c>
      <c r="L1880" s="2"/>
      <c r="M1880" s="7">
        <f>7.24083*K1855</f>
        <v>26120.570142</v>
      </c>
    </row>
    <row r="1881" spans="1:13" ht="12.75">
      <c r="A1881" s="41" t="s">
        <v>34</v>
      </c>
      <c r="B1881" s="46"/>
      <c r="C1881" s="71"/>
      <c r="D1881" s="7"/>
      <c r="E1881" s="7">
        <f t="shared" si="40"/>
        <v>0</v>
      </c>
      <c r="F1881" s="7"/>
      <c r="G1881" s="7"/>
      <c r="H1881" s="2"/>
      <c r="I1881" s="7"/>
      <c r="J1881" s="2"/>
      <c r="K1881" s="7"/>
      <c r="L1881" s="2"/>
      <c r="M1881" s="7"/>
    </row>
    <row r="1882" spans="1:13" ht="12.75">
      <c r="A1882" s="41" t="s">
        <v>67</v>
      </c>
      <c r="B1882" s="46"/>
      <c r="C1882" s="7"/>
      <c r="D1882" s="7"/>
      <c r="E1882" s="7">
        <f t="shared" si="40"/>
        <v>5445</v>
      </c>
      <c r="F1882" s="7"/>
      <c r="G1882" s="7">
        <v>1330</v>
      </c>
      <c r="H1882" s="2"/>
      <c r="I1882" s="7">
        <v>4115</v>
      </c>
      <c r="J1882" s="2"/>
      <c r="K1882" s="7"/>
      <c r="L1882" s="2"/>
      <c r="M1882" s="7"/>
    </row>
    <row r="1883" spans="1:13" ht="12.75">
      <c r="A1883" s="41" t="s">
        <v>68</v>
      </c>
      <c r="B1883" s="46"/>
      <c r="C1883" s="7"/>
      <c r="D1883" s="7"/>
      <c r="E1883" s="7">
        <f t="shared" si="40"/>
        <v>506</v>
      </c>
      <c r="F1883" s="7"/>
      <c r="G1883" s="7"/>
      <c r="H1883" s="2"/>
      <c r="I1883" s="7">
        <v>225</v>
      </c>
      <c r="J1883" s="2"/>
      <c r="K1883" s="7">
        <v>281</v>
      </c>
      <c r="L1883" s="2"/>
      <c r="M1883" s="7"/>
    </row>
    <row r="1884" spans="1:13" ht="12.75">
      <c r="A1884" s="41" t="s">
        <v>69</v>
      </c>
      <c r="B1884" s="46"/>
      <c r="C1884" s="7"/>
      <c r="D1884" s="7"/>
      <c r="E1884" s="7">
        <f t="shared" si="40"/>
        <v>722.5</v>
      </c>
      <c r="F1884" s="7"/>
      <c r="G1884" s="7"/>
      <c r="H1884" s="2"/>
      <c r="I1884" s="7">
        <v>722.5</v>
      </c>
      <c r="J1884" s="2"/>
      <c r="K1884" s="7"/>
      <c r="L1884" s="2"/>
      <c r="M1884" s="7"/>
    </row>
    <row r="1885" spans="1:13" ht="12.75">
      <c r="A1885" s="41" t="s">
        <v>26</v>
      </c>
      <c r="B1885" s="46"/>
      <c r="C1885" s="7"/>
      <c r="D1885" s="7"/>
      <c r="E1885" s="7">
        <f t="shared" si="40"/>
        <v>1042.5</v>
      </c>
      <c r="F1885" s="7"/>
      <c r="G1885" s="7"/>
      <c r="H1885" s="2"/>
      <c r="I1885" s="7">
        <v>722.5</v>
      </c>
      <c r="J1885" s="2"/>
      <c r="K1885" s="7">
        <v>130</v>
      </c>
      <c r="L1885" s="2"/>
      <c r="M1885" s="7">
        <v>190</v>
      </c>
    </row>
    <row r="1886" spans="1:13" ht="12.75">
      <c r="A1886" s="41" t="s">
        <v>28</v>
      </c>
      <c r="B1886" s="46"/>
      <c r="C1886" s="7"/>
      <c r="D1886" s="7"/>
      <c r="E1886" s="7">
        <f t="shared" si="40"/>
        <v>195</v>
      </c>
      <c r="F1886" s="7"/>
      <c r="G1886" s="7"/>
      <c r="H1886" s="2"/>
      <c r="I1886" s="7"/>
      <c r="J1886" s="2"/>
      <c r="K1886" s="7"/>
      <c r="L1886" s="2"/>
      <c r="M1886" s="7">
        <v>195</v>
      </c>
    </row>
    <row r="1887" spans="1:13" ht="12.75">
      <c r="A1887" s="41" t="s">
        <v>291</v>
      </c>
      <c r="B1887" s="46"/>
      <c r="C1887" s="7"/>
      <c r="D1887" s="7"/>
      <c r="E1887" s="7"/>
      <c r="F1887" s="7"/>
      <c r="G1887" s="7"/>
      <c r="H1887" s="2"/>
      <c r="I1887" s="7"/>
      <c r="J1887" s="2"/>
      <c r="K1887" s="7">
        <v>1510</v>
      </c>
      <c r="L1887" s="2"/>
      <c r="M1887" s="7"/>
    </row>
    <row r="1888" spans="1:13" ht="12.75">
      <c r="A1888" s="41" t="s">
        <v>60</v>
      </c>
      <c r="B1888" s="46"/>
      <c r="C1888" s="7"/>
      <c r="D1888" s="7"/>
      <c r="E1888" s="7">
        <f t="shared" si="40"/>
        <v>0</v>
      </c>
      <c r="F1888" s="7"/>
      <c r="G1888" s="7"/>
      <c r="H1888" s="2"/>
      <c r="I1888" s="7"/>
      <c r="J1888" s="2"/>
      <c r="K1888" s="7"/>
      <c r="L1888" s="2"/>
      <c r="M1888" s="7"/>
    </row>
    <row r="1889" spans="1:13" ht="12.75">
      <c r="A1889" s="41" t="s">
        <v>429</v>
      </c>
      <c r="B1889" s="46"/>
      <c r="C1889" s="7"/>
      <c r="D1889" s="7"/>
      <c r="E1889" s="7">
        <f t="shared" si="40"/>
        <v>110</v>
      </c>
      <c r="F1889" s="7"/>
      <c r="G1889" s="7"/>
      <c r="H1889" s="2"/>
      <c r="I1889" s="7"/>
      <c r="J1889" s="2"/>
      <c r="K1889" s="7"/>
      <c r="L1889" s="2"/>
      <c r="M1889" s="7">
        <v>110</v>
      </c>
    </row>
    <row r="1890" spans="1:13" ht="12.75">
      <c r="A1890" s="41" t="s">
        <v>62</v>
      </c>
      <c r="B1890" s="46"/>
      <c r="C1890" s="7"/>
      <c r="D1890" s="7"/>
      <c r="E1890" s="7">
        <f t="shared" si="40"/>
        <v>0</v>
      </c>
      <c r="F1890" s="7"/>
      <c r="G1890" s="7"/>
      <c r="H1890" s="2"/>
      <c r="I1890" s="7"/>
      <c r="J1890" s="2"/>
      <c r="K1890" s="7"/>
      <c r="L1890" s="2"/>
      <c r="M1890" s="7"/>
    </row>
    <row r="1891" spans="1:13" ht="12.75">
      <c r="A1891" s="41" t="s">
        <v>244</v>
      </c>
      <c r="B1891" s="46"/>
      <c r="C1891" s="7"/>
      <c r="D1891" s="7"/>
      <c r="E1891" s="7">
        <f t="shared" si="40"/>
        <v>64.5</v>
      </c>
      <c r="F1891" s="7"/>
      <c r="G1891" s="7"/>
      <c r="H1891" s="2"/>
      <c r="I1891" s="7">
        <v>64.5</v>
      </c>
      <c r="J1891" s="2"/>
      <c r="K1891" s="7"/>
      <c r="L1891" s="2"/>
      <c r="M1891" s="7"/>
    </row>
    <row r="1892" spans="1:13" ht="12.75">
      <c r="A1892" s="41" t="s">
        <v>66</v>
      </c>
      <c r="B1892" s="46"/>
      <c r="C1892" s="7"/>
      <c r="D1892" s="7"/>
      <c r="E1892" s="7">
        <f t="shared" si="40"/>
        <v>0</v>
      </c>
      <c r="F1892" s="7"/>
      <c r="G1892" s="7"/>
      <c r="H1892" s="2"/>
      <c r="I1892" s="7"/>
      <c r="J1892" s="2"/>
      <c r="K1892" s="7"/>
      <c r="L1892" s="2"/>
      <c r="M1892" s="7"/>
    </row>
    <row r="1893" spans="1:13" ht="12.75">
      <c r="A1893" s="41" t="s">
        <v>51</v>
      </c>
      <c r="B1893" s="46"/>
      <c r="C1893" s="7"/>
      <c r="D1893" s="7"/>
      <c r="E1893" s="7">
        <f t="shared" si="40"/>
        <v>2593.92</v>
      </c>
      <c r="F1893" s="7"/>
      <c r="G1893" s="7"/>
      <c r="H1893" s="2"/>
      <c r="I1893" s="7">
        <v>2593.92</v>
      </c>
      <c r="J1893" s="2"/>
      <c r="K1893" s="7"/>
      <c r="L1893" s="2"/>
      <c r="M1893" s="7"/>
    </row>
    <row r="1894" spans="1:13" ht="12.75">
      <c r="A1894" s="58" t="s">
        <v>52</v>
      </c>
      <c r="B1894" s="46"/>
      <c r="C1894" s="7"/>
      <c r="D1894" s="7"/>
      <c r="E1894" s="7">
        <f t="shared" si="40"/>
        <v>0</v>
      </c>
      <c r="F1894" s="7"/>
      <c r="G1894" s="7"/>
      <c r="H1894" s="2"/>
      <c r="I1894" s="7"/>
      <c r="J1894" s="2"/>
      <c r="K1894" s="7"/>
      <c r="L1894" s="2"/>
      <c r="M1894" s="7"/>
    </row>
    <row r="1895" spans="1:13" ht="12.75">
      <c r="A1895" s="41" t="s">
        <v>80</v>
      </c>
      <c r="B1895" s="46"/>
      <c r="C1895" s="7"/>
      <c r="D1895" s="7"/>
      <c r="E1895" s="7">
        <f t="shared" si="40"/>
        <v>0</v>
      </c>
      <c r="F1895" s="7"/>
      <c r="G1895" s="7"/>
      <c r="H1895" s="2"/>
      <c r="I1895" s="7"/>
      <c r="J1895" s="2"/>
      <c r="K1895" s="7"/>
      <c r="L1895" s="2"/>
      <c r="M1895" s="7"/>
    </row>
    <row r="1896" spans="1:13" ht="12.75">
      <c r="A1896" s="41" t="s">
        <v>65</v>
      </c>
      <c r="B1896" s="46"/>
      <c r="C1896" s="7"/>
      <c r="D1896" s="7"/>
      <c r="E1896" s="7">
        <f t="shared" si="40"/>
        <v>0</v>
      </c>
      <c r="F1896" s="7"/>
      <c r="G1896" s="7"/>
      <c r="H1896" s="2"/>
      <c r="I1896" s="7"/>
      <c r="J1896" s="2"/>
      <c r="K1896" s="7"/>
      <c r="L1896" s="2"/>
      <c r="M1896" s="7"/>
    </row>
    <row r="1897" spans="1:13" ht="12.75">
      <c r="A1897" s="41" t="s">
        <v>57</v>
      </c>
      <c r="B1897" s="46"/>
      <c r="C1897" s="7"/>
      <c r="D1897" s="7"/>
      <c r="E1897" s="7">
        <f t="shared" si="40"/>
        <v>25.994165000000002</v>
      </c>
      <c r="F1897" s="7"/>
      <c r="G1897" s="7"/>
      <c r="H1897" s="2"/>
      <c r="I1897" s="7">
        <f>0.0071*C1855</f>
        <v>25.994165000000002</v>
      </c>
      <c r="J1897" s="2"/>
      <c r="K1897" s="7"/>
      <c r="L1897" s="2"/>
      <c r="M1897" s="7"/>
    </row>
    <row r="1898" spans="1:13" ht="12.75">
      <c r="A1898" s="41" t="s">
        <v>33</v>
      </c>
      <c r="B1898" s="46"/>
      <c r="C1898" s="7"/>
      <c r="D1898" s="7"/>
      <c r="E1898" s="7">
        <f t="shared" si="40"/>
        <v>3162</v>
      </c>
      <c r="F1898" s="15"/>
      <c r="G1898" s="7"/>
      <c r="H1898" s="2"/>
      <c r="I1898" s="7"/>
      <c r="J1898" s="2"/>
      <c r="K1898" s="7"/>
      <c r="L1898" s="2"/>
      <c r="M1898" s="7">
        <v>3162</v>
      </c>
    </row>
    <row r="1899" spans="1:13" ht="12.75">
      <c r="A1899" s="41" t="s">
        <v>50</v>
      </c>
      <c r="B1899" s="46"/>
      <c r="C1899" s="7"/>
      <c r="D1899" s="7"/>
      <c r="E1899" s="7">
        <f t="shared" si="40"/>
        <v>3999.534735</v>
      </c>
      <c r="F1899" s="7"/>
      <c r="G1899" s="7">
        <f>0.2455*C1855</f>
        <v>898.812325</v>
      </c>
      <c r="H1899" s="2"/>
      <c r="I1899" s="7">
        <f>0.5802*C1855</f>
        <v>2124.19923</v>
      </c>
      <c r="J1899" s="2"/>
      <c r="K1899" s="7">
        <f>0.1437*K1855</f>
        <v>518.38338</v>
      </c>
      <c r="L1899" s="2"/>
      <c r="M1899" s="7">
        <f>0.127*K1855</f>
        <v>458.13980000000004</v>
      </c>
    </row>
    <row r="1900" spans="1:13" ht="13.5" thickBot="1">
      <c r="A1900" s="48" t="s">
        <v>54</v>
      </c>
      <c r="B1900" s="49"/>
      <c r="C1900" s="50"/>
      <c r="D1900" s="50"/>
      <c r="E1900" s="50">
        <f t="shared" si="40"/>
        <v>111.52717000000001</v>
      </c>
      <c r="F1900" s="50"/>
      <c r="G1900" s="50"/>
      <c r="H1900" s="22"/>
      <c r="I1900" s="50">
        <f>0.0078*C1855</f>
        <v>28.55697</v>
      </c>
      <c r="J1900" s="22"/>
      <c r="K1900" s="50">
        <f>0.011*K1855</f>
        <v>39.6814</v>
      </c>
      <c r="L1900" s="22"/>
      <c r="M1900" s="50">
        <f>0.012*K1855</f>
        <v>43.2888</v>
      </c>
    </row>
    <row r="1901" spans="1:13" ht="13.5" thickBot="1">
      <c r="A1901" s="59" t="s">
        <v>10</v>
      </c>
      <c r="B1901" s="81"/>
      <c r="C1901" s="63"/>
      <c r="D1901" s="63"/>
      <c r="E1901" s="63">
        <f t="shared" si="40"/>
        <v>122214.467544</v>
      </c>
      <c r="F1901" s="63"/>
      <c r="G1901" s="63">
        <f>SUM(G1880:G1900)</f>
        <v>26880.1041165</v>
      </c>
      <c r="H1901" s="26"/>
      <c r="I1901" s="63">
        <f>SUM(I1880:I1900)</f>
        <v>36331.0219455</v>
      </c>
      <c r="J1901" s="26"/>
      <c r="K1901" s="63">
        <f>SUM(K1880:K1900)</f>
        <v>28724.342740000004</v>
      </c>
      <c r="L1901" s="26"/>
      <c r="M1901" s="29">
        <f>SUM(M1880:M1900)</f>
        <v>30278.998742</v>
      </c>
    </row>
    <row r="1902" spans="1:13" ht="12.75">
      <c r="A1902" s="60" t="s">
        <v>42</v>
      </c>
      <c r="B1902" s="55"/>
      <c r="C1902" s="66"/>
      <c r="D1902" s="66"/>
      <c r="E1902" s="56">
        <f t="shared" si="40"/>
        <v>0</v>
      </c>
      <c r="F1902" s="66"/>
      <c r="G1902" s="56"/>
      <c r="H1902" s="74"/>
      <c r="I1902" s="56"/>
      <c r="J1902" s="74"/>
      <c r="K1902" s="56"/>
      <c r="L1902" s="74"/>
      <c r="M1902" s="56"/>
    </row>
    <row r="1903" spans="1:13" ht="12.75">
      <c r="A1903" s="74" t="s">
        <v>428</v>
      </c>
      <c r="B1903" s="55"/>
      <c r="C1903" s="66"/>
      <c r="D1903" s="66"/>
      <c r="E1903" s="56">
        <f t="shared" si="40"/>
        <v>267.2</v>
      </c>
      <c r="F1903" s="66"/>
      <c r="G1903" s="56"/>
      <c r="H1903" s="74"/>
      <c r="I1903" s="56"/>
      <c r="J1903" s="74"/>
      <c r="K1903" s="56"/>
      <c r="L1903" s="74"/>
      <c r="M1903" s="56">
        <v>267.2</v>
      </c>
    </row>
    <row r="1904" spans="1:13" ht="12.75">
      <c r="A1904" s="41" t="s">
        <v>56</v>
      </c>
      <c r="B1904" s="46"/>
      <c r="C1904" s="7"/>
      <c r="D1904" s="7"/>
      <c r="E1904" s="56">
        <f t="shared" si="40"/>
        <v>0</v>
      </c>
      <c r="F1904" s="7"/>
      <c r="G1904" s="7"/>
      <c r="H1904" s="2"/>
      <c r="I1904" s="7"/>
      <c r="J1904" s="2"/>
      <c r="K1904" s="7"/>
      <c r="L1904" s="2"/>
      <c r="M1904" s="7"/>
    </row>
    <row r="1905" spans="1:13" ht="12.75">
      <c r="A1905" s="48" t="s">
        <v>89</v>
      </c>
      <c r="B1905" s="49"/>
      <c r="C1905" s="50"/>
      <c r="D1905" s="50"/>
      <c r="E1905" s="56">
        <f t="shared" si="40"/>
        <v>113</v>
      </c>
      <c r="F1905" s="50"/>
      <c r="G1905" s="50"/>
      <c r="H1905" s="22"/>
      <c r="I1905" s="50"/>
      <c r="J1905" s="22"/>
      <c r="K1905" s="50">
        <v>113</v>
      </c>
      <c r="L1905" s="22"/>
      <c r="M1905" s="50"/>
    </row>
    <row r="1906" spans="1:13" ht="13.5" thickBot="1">
      <c r="A1906" s="48" t="s">
        <v>16</v>
      </c>
      <c r="B1906" s="49"/>
      <c r="C1906" s="50"/>
      <c r="D1906" s="50"/>
      <c r="E1906" s="56">
        <f t="shared" si="40"/>
        <v>129.262555</v>
      </c>
      <c r="F1906" s="50"/>
      <c r="G1906" s="50">
        <f>0.0089*C1855</f>
        <v>32.584235</v>
      </c>
      <c r="H1906" s="22"/>
      <c r="I1906" s="50"/>
      <c r="J1906" s="22"/>
      <c r="K1906" s="50"/>
      <c r="L1906" s="22"/>
      <c r="M1906" s="50">
        <f>0.0268*K1855</f>
        <v>96.67832</v>
      </c>
    </row>
    <row r="1907" spans="1:13" ht="13.5" thickBot="1">
      <c r="A1907" s="62" t="s">
        <v>10</v>
      </c>
      <c r="B1907" s="81"/>
      <c r="C1907" s="63"/>
      <c r="D1907" s="63"/>
      <c r="E1907" s="63">
        <f t="shared" si="40"/>
        <v>509.46255499999995</v>
      </c>
      <c r="F1907" s="63"/>
      <c r="G1907" s="63">
        <f>SUM(G1904:G1906)</f>
        <v>32.584235</v>
      </c>
      <c r="H1907" s="26"/>
      <c r="I1907" s="63"/>
      <c r="J1907" s="26"/>
      <c r="K1907" s="63">
        <f>SUM(K1904:K1906)</f>
        <v>113</v>
      </c>
      <c r="L1907" s="26"/>
      <c r="M1907" s="29">
        <f>SUM(M1903:M1906)</f>
        <v>363.87832</v>
      </c>
    </row>
    <row r="1908" spans="1:13" ht="13.5" thickBot="1">
      <c r="A1908" s="64" t="s">
        <v>29</v>
      </c>
      <c r="B1908" s="81"/>
      <c r="C1908" s="63"/>
      <c r="D1908" s="63"/>
      <c r="E1908" s="63">
        <f t="shared" si="40"/>
        <v>8325.548605</v>
      </c>
      <c r="F1908" s="63"/>
      <c r="G1908" s="63">
        <f>0.4236*C1855</f>
        <v>1550.86314</v>
      </c>
      <c r="H1908" s="26"/>
      <c r="I1908" s="63">
        <f>0.5971*C1855</f>
        <v>2186.072665</v>
      </c>
      <c r="J1908" s="26"/>
      <c r="K1908" s="63"/>
      <c r="L1908" s="26"/>
      <c r="M1908" s="29">
        <f>1.272*K1855</f>
        <v>4588.6128</v>
      </c>
    </row>
    <row r="1909" spans="1:13" ht="21.75">
      <c r="A1909" s="65" t="s">
        <v>83</v>
      </c>
      <c r="B1909" s="61"/>
      <c r="C1909" s="56"/>
      <c r="D1909" s="56"/>
      <c r="E1909" s="56">
        <f t="shared" si="40"/>
        <v>388889.79361399997</v>
      </c>
      <c r="F1909" s="56"/>
      <c r="G1909" s="56">
        <f>G1878+G1901+G1907+G1908</f>
        <v>92307.44646749999</v>
      </c>
      <c r="H1909" s="74"/>
      <c r="I1909" s="56">
        <f>I1878+I1901+I1907+I1908</f>
        <v>107817.29681449999</v>
      </c>
      <c r="J1909" s="74"/>
      <c r="K1909" s="56">
        <f>K1878+K1901+K1907+K1908</f>
        <v>96198.84691200001</v>
      </c>
      <c r="L1909" s="74"/>
      <c r="M1909" s="56">
        <f>M1878+M1901+M1907+M1908</f>
        <v>92566.20342</v>
      </c>
    </row>
    <row r="1910" spans="1:13" ht="33.75">
      <c r="A1910" s="67" t="s">
        <v>84</v>
      </c>
      <c r="B1910" s="46"/>
      <c r="C1910" s="7"/>
      <c r="D1910" s="7"/>
      <c r="E1910" s="8">
        <f>E1909/12/C1855</f>
        <v>8.851722218747296</v>
      </c>
      <c r="F1910" s="7"/>
      <c r="G1910" s="8">
        <f>G1909/3/C1855</f>
        <v>8.40423058943228</v>
      </c>
      <c r="H1910" s="2"/>
      <c r="I1910" s="8">
        <f>I1909/3/C1855</f>
        <v>9.816341569770882</v>
      </c>
      <c r="J1910" s="2"/>
      <c r="K1910" s="8">
        <f>K1909/3/K1855</f>
        <v>8.88902874757443</v>
      </c>
      <c r="L1910" s="2"/>
      <c r="M1910" s="8">
        <f>M1909/3/K1855</f>
        <v>8.553362848589012</v>
      </c>
    </row>
    <row r="1911" spans="1:13" ht="12.75">
      <c r="A1911" s="69" t="s">
        <v>20</v>
      </c>
      <c r="B1911" s="44"/>
      <c r="C1911" s="45"/>
      <c r="D1911" s="45"/>
      <c r="E1911" s="45">
        <f>E1860-E1909</f>
        <v>236.68638600001577</v>
      </c>
      <c r="F1911" s="45"/>
      <c r="G1911" s="7">
        <f>G1860-G1909</f>
        <v>17057.52353250001</v>
      </c>
      <c r="H1911" s="2"/>
      <c r="I1911" s="7">
        <f>I1860-I1909+G1911</f>
        <v>-8698.043281999984</v>
      </c>
      <c r="J1911" s="2"/>
      <c r="K1911" s="7">
        <f>K1860-K1909-8698</f>
        <v>-7334.726912000013</v>
      </c>
      <c r="L1911" s="2"/>
      <c r="M1911" s="7">
        <f>M1860-M1909-7335</f>
        <v>236.4565799999982</v>
      </c>
    </row>
    <row r="1912" spans="1:13" ht="12.75">
      <c r="A1912" s="14" t="s">
        <v>24</v>
      </c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</row>
    <row r="1913" spans="1:13" ht="12.75">
      <c r="A1913" s="14" t="s">
        <v>35</v>
      </c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</row>
    <row r="1914" spans="1:13" ht="12.75">
      <c r="A1914" s="14" t="s">
        <v>25</v>
      </c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</row>
    <row r="1915" spans="1:13" ht="12.75">
      <c r="A1915" s="14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</row>
    <row r="1916" spans="1:13" ht="12.75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</row>
    <row r="1917" spans="1:13" ht="12.75">
      <c r="A1917" s="14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</row>
    <row r="1918" spans="1:13" ht="12.75">
      <c r="A1918" s="14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</row>
    <row r="1919" spans="1:13" ht="12.75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</row>
    <row r="1920" spans="1:13" ht="12.75">
      <c r="A1920" s="14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</row>
    <row r="1921" spans="1:13" ht="12.75">
      <c r="A1921" s="14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</row>
    <row r="1922" spans="1:13" ht="12.75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</row>
    <row r="1923" spans="1:13" ht="12.75">
      <c r="A1923" s="14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</row>
    <row r="1924" spans="1:13" ht="12.75">
      <c r="A1924" s="14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</row>
    <row r="1925" spans="1:13" ht="12.75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</row>
    <row r="1926" spans="1:13" ht="12.75">
      <c r="A1926" s="14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</row>
    <row r="1927" spans="1:13" ht="12.75">
      <c r="A1927" s="14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</row>
    <row r="1928" spans="1:13" ht="12.75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</row>
    <row r="1929" spans="1:13" ht="12.75">
      <c r="A1929" s="14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</row>
    <row r="1930" spans="1:13" ht="12.75">
      <c r="A1930" s="14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</row>
    <row r="1931" spans="1:13" ht="3.75" customHeight="1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</row>
    <row r="1932" spans="1:13" ht="1.5" customHeight="1" hidden="1">
      <c r="A1932" s="14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</row>
    <row r="1933" spans="1:13" ht="12.75" hidden="1">
      <c r="A1933" s="14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</row>
    <row r="1934" spans="1:13" ht="12.75" hidden="1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</row>
    <row r="1935" spans="1:13" ht="12.75" hidden="1">
      <c r="A1935" s="14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</row>
    <row r="1936" spans="1:13" ht="12.75" hidden="1">
      <c r="A1936" s="14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</row>
    <row r="1937" spans="1:13" ht="12.75" hidden="1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</row>
    <row r="1938" spans="1:13" ht="12.75">
      <c r="A1938" s="31" t="s">
        <v>21</v>
      </c>
      <c r="B1938" s="31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</row>
    <row r="1939" spans="1:13" ht="12.75">
      <c r="A1939" s="14" t="s">
        <v>31</v>
      </c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</row>
    <row r="1940" spans="1:13" ht="12.75">
      <c r="A1940" s="14" t="s">
        <v>41</v>
      </c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</row>
    <row r="1941" spans="1:13" ht="12.75">
      <c r="A1941" s="14" t="s">
        <v>121</v>
      </c>
      <c r="B1941" s="14"/>
      <c r="C1941" s="14"/>
      <c r="D1941" s="14"/>
      <c r="E1941" s="14" t="s">
        <v>32</v>
      </c>
      <c r="F1941" s="14"/>
      <c r="G1941" s="14"/>
      <c r="H1941" s="14"/>
      <c r="I1941" s="14"/>
      <c r="J1941" s="14"/>
      <c r="K1941" s="14"/>
      <c r="L1941" s="14"/>
      <c r="M1941" s="14"/>
    </row>
    <row r="1942" spans="1:13" ht="12.75" customHeight="1">
      <c r="A1942" s="6" t="s">
        <v>0</v>
      </c>
      <c r="B1942" s="151" t="s">
        <v>38</v>
      </c>
      <c r="C1942" s="152"/>
      <c r="D1942" s="149" t="s">
        <v>39</v>
      </c>
      <c r="E1942" s="150"/>
      <c r="F1942" s="149" t="s">
        <v>96</v>
      </c>
      <c r="G1942" s="150"/>
      <c r="H1942" s="149" t="s">
        <v>97</v>
      </c>
      <c r="I1942" s="150"/>
      <c r="J1942" s="149" t="s">
        <v>98</v>
      </c>
      <c r="K1942" s="150"/>
      <c r="L1942" s="149" t="s">
        <v>99</v>
      </c>
      <c r="M1942" s="150"/>
    </row>
    <row r="1943" spans="1:13" ht="12.75">
      <c r="A1943" s="11" t="s">
        <v>5</v>
      </c>
      <c r="B1943" s="153"/>
      <c r="C1943" s="154"/>
      <c r="D1943" s="6" t="s">
        <v>40</v>
      </c>
      <c r="E1943" s="6" t="s">
        <v>22</v>
      </c>
      <c r="F1943" s="6" t="s">
        <v>40</v>
      </c>
      <c r="G1943" s="13" t="s">
        <v>22</v>
      </c>
      <c r="H1943" s="2"/>
      <c r="I1943" s="2"/>
      <c r="J1943" s="2"/>
      <c r="K1943" s="2"/>
      <c r="L1943" s="2"/>
      <c r="M1943" s="2"/>
    </row>
    <row r="1944" spans="1:13" ht="12.75">
      <c r="A1944" s="2" t="s">
        <v>1</v>
      </c>
      <c r="B1944" s="2"/>
      <c r="C1944" s="6">
        <v>5</v>
      </c>
      <c r="D1944" s="2"/>
      <c r="E1944" s="2"/>
      <c r="F1944" s="2"/>
      <c r="G1944" s="2"/>
      <c r="H1944" s="2"/>
      <c r="I1944" s="2"/>
      <c r="J1944" s="2"/>
      <c r="K1944" s="2"/>
      <c r="L1944" s="2"/>
      <c r="M1944" s="2"/>
    </row>
    <row r="1945" spans="1:13" ht="12.75">
      <c r="A1945" s="2" t="s">
        <v>2</v>
      </c>
      <c r="B1945" s="2"/>
      <c r="C1945" s="6">
        <v>6</v>
      </c>
      <c r="D1945" s="2"/>
      <c r="E1945" s="2"/>
      <c r="F1945" s="2"/>
      <c r="G1945" s="2"/>
      <c r="H1945" s="2"/>
      <c r="I1945" s="2"/>
      <c r="J1945" s="2"/>
      <c r="K1945" s="2"/>
      <c r="L1945" s="2"/>
      <c r="M1945" s="2"/>
    </row>
    <row r="1946" spans="1:13" ht="12.75">
      <c r="A1946" s="2" t="s">
        <v>3</v>
      </c>
      <c r="B1946" s="2"/>
      <c r="C1946" s="6">
        <v>60</v>
      </c>
      <c r="D1946" s="2"/>
      <c r="E1946" s="2"/>
      <c r="F1946" s="2"/>
      <c r="G1946" s="2"/>
      <c r="H1946" s="2"/>
      <c r="I1946" s="2"/>
      <c r="J1946" s="2"/>
      <c r="K1946" s="2"/>
      <c r="L1946" s="2"/>
      <c r="M1946" s="2"/>
    </row>
    <row r="1947" spans="1:13" ht="12.75">
      <c r="A1947" s="2" t="s">
        <v>4</v>
      </c>
      <c r="B1947" s="6"/>
      <c r="C1947" s="6">
        <v>3613.94</v>
      </c>
      <c r="D1947" s="6"/>
      <c r="E1947" s="6"/>
      <c r="F1947" s="6"/>
      <c r="G1947" s="2"/>
      <c r="H1947" s="2"/>
      <c r="I1947" s="2"/>
      <c r="J1947" s="2"/>
      <c r="K1947" s="2">
        <v>3627.88</v>
      </c>
      <c r="L1947" s="2"/>
      <c r="M1947" s="2"/>
    </row>
    <row r="1948" spans="1:13" ht="21.75">
      <c r="A1948" s="35" t="s">
        <v>6</v>
      </c>
      <c r="B1948" s="11" t="s">
        <v>40</v>
      </c>
      <c r="C1948" s="2" t="s">
        <v>22</v>
      </c>
      <c r="D1948" s="2"/>
      <c r="E1948" s="2"/>
      <c r="F1948" s="2"/>
      <c r="G1948" s="2"/>
      <c r="H1948" s="2"/>
      <c r="I1948" s="2"/>
      <c r="J1948" s="2"/>
      <c r="K1948" s="2"/>
      <c r="L1948" s="2"/>
      <c r="M1948" s="2"/>
    </row>
    <row r="1949" spans="1:13" ht="22.5">
      <c r="A1949" s="40" t="s">
        <v>7</v>
      </c>
      <c r="B1949" s="3"/>
      <c r="C1949" s="6"/>
      <c r="D1949" s="6"/>
      <c r="E1949" s="6">
        <f>G1949+I1949+K1949+M1949</f>
        <v>387849.38</v>
      </c>
      <c r="F1949" s="2"/>
      <c r="G1949" s="2">
        <v>86775.23</v>
      </c>
      <c r="H1949" s="2"/>
      <c r="I1949" s="2">
        <v>119450.88</v>
      </c>
      <c r="J1949" s="2"/>
      <c r="K1949" s="2">
        <v>93786.26</v>
      </c>
      <c r="L1949" s="2"/>
      <c r="M1949" s="2">
        <v>87837.01</v>
      </c>
    </row>
    <row r="1950" spans="1:13" ht="12.75">
      <c r="A1950" s="41" t="s">
        <v>8</v>
      </c>
      <c r="B1950" s="3"/>
      <c r="C1950" s="6"/>
      <c r="D1950" s="6"/>
      <c r="E1950" s="6">
        <f>G1950+I1950+K1950+M1950</f>
        <v>24991.49</v>
      </c>
      <c r="F1950" s="2"/>
      <c r="G1950" s="2">
        <v>3031.35</v>
      </c>
      <c r="H1950" s="2"/>
      <c r="I1950" s="2">
        <v>3031.35</v>
      </c>
      <c r="J1950" s="2"/>
      <c r="K1950" s="2">
        <v>14043.43</v>
      </c>
      <c r="L1950" s="2"/>
      <c r="M1950" s="2">
        <v>4885.36</v>
      </c>
    </row>
    <row r="1951" spans="1:13" ht="12.75">
      <c r="A1951" s="41" t="s">
        <v>9</v>
      </c>
      <c r="B1951" s="3"/>
      <c r="C1951" s="6"/>
      <c r="D1951" s="6"/>
      <c r="E1951" s="6"/>
      <c r="F1951" s="2"/>
      <c r="G1951" s="2"/>
      <c r="H1951" s="2"/>
      <c r="I1951" s="2"/>
      <c r="J1951" s="2"/>
      <c r="K1951" s="2"/>
      <c r="L1951" s="2"/>
      <c r="M1951" s="2"/>
    </row>
    <row r="1952" spans="1:13" ht="12.75">
      <c r="A1952" s="2" t="s">
        <v>10</v>
      </c>
      <c r="B1952" s="42"/>
      <c r="C1952" s="11"/>
      <c r="D1952" s="11"/>
      <c r="E1952" s="11">
        <f>SUM(E1949:E1951)</f>
        <v>412840.87</v>
      </c>
      <c r="F1952" s="37"/>
      <c r="G1952" s="37">
        <f>SUM(G1949:G1951)</f>
        <v>89806.58</v>
      </c>
      <c r="H1952" s="2"/>
      <c r="I1952" s="2">
        <f>SUM(I1949:I1951)</f>
        <v>122482.23000000001</v>
      </c>
      <c r="J1952" s="2"/>
      <c r="K1952" s="2">
        <f>SUM(K1949:K1951)</f>
        <v>107829.69</v>
      </c>
      <c r="L1952" s="2"/>
      <c r="M1952" s="2">
        <f>SUM(M1949:M1951)</f>
        <v>92722.37</v>
      </c>
    </row>
    <row r="1953" spans="1:13" ht="21.75">
      <c r="A1953" s="35" t="s">
        <v>82</v>
      </c>
      <c r="B1953" s="4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</row>
    <row r="1954" spans="1:13" ht="12.75">
      <c r="A1954" s="43" t="s">
        <v>11</v>
      </c>
      <c r="B1954" s="44"/>
      <c r="C1954" s="45"/>
      <c r="D1954" s="45"/>
      <c r="E1954" s="45">
        <f>G1954+I1954+K1954+M1954</f>
        <v>118096.86669639999</v>
      </c>
      <c r="F1954" s="45"/>
      <c r="G1954" s="45">
        <f>7.99407*C1947</f>
        <v>28890.0893358</v>
      </c>
      <c r="H1954" s="2"/>
      <c r="I1954" s="7">
        <f>9.57707*C1947</f>
        <v>34610.9563558</v>
      </c>
      <c r="J1954" s="2"/>
      <c r="K1954" s="7">
        <f>7.32829*K1947</f>
        <v>26586.156725200002</v>
      </c>
      <c r="L1954" s="2"/>
      <c r="M1954" s="7">
        <f>7.72067*K1947</f>
        <v>28009.6642796</v>
      </c>
    </row>
    <row r="1955" spans="1:13" ht="12.75">
      <c r="A1955" s="43" t="s">
        <v>12</v>
      </c>
      <c r="B1955" s="46"/>
      <c r="C1955" s="7"/>
      <c r="D1955" s="7"/>
      <c r="E1955" s="7">
        <f aca="true" t="shared" si="41" ref="E1955:E2001">G1955+I1955+K1955+M1955</f>
        <v>0</v>
      </c>
      <c r="F1955" s="7"/>
      <c r="G1955" s="7"/>
      <c r="H1955" s="2"/>
      <c r="I1955" s="7"/>
      <c r="J1955" s="2"/>
      <c r="K1955" s="7"/>
      <c r="L1955" s="2"/>
      <c r="M1955" s="7"/>
    </row>
    <row r="1956" spans="1:13" ht="12.75">
      <c r="A1956" s="41" t="s">
        <v>13</v>
      </c>
      <c r="B1956" s="46"/>
      <c r="C1956" s="7"/>
      <c r="D1956" s="7"/>
      <c r="E1956" s="7">
        <f t="shared" si="41"/>
        <v>150052.2270316</v>
      </c>
      <c r="F1956" s="7"/>
      <c r="G1956" s="7">
        <f>G1957+G1959+G1960+G1961+G1963+G1964+G1965+G1966+G1967+G1968+G1969</f>
        <v>36230.982289800006</v>
      </c>
      <c r="H1956" s="2"/>
      <c r="I1956" s="7">
        <f>I1957+I1959+I1960+I1961+I1963+I1964+I1965+I1966+I1967+I1968+I1969</f>
        <v>37593.1839206</v>
      </c>
      <c r="J1956" s="2"/>
      <c r="K1956" s="7">
        <f>K1957+K1959+K1960+K1961+K1962+K1963+K1964+K1965+K1966+K1967+K1968+K1969</f>
        <v>42688.85750119999</v>
      </c>
      <c r="L1956" s="2"/>
      <c r="M1956" s="7">
        <f>M1957+M1959+M1960+M1961+M1962+M1963+M1964+M1965+M1966+M1967+M1968+M1969</f>
        <v>33539.20332</v>
      </c>
    </row>
    <row r="1957" spans="1:13" ht="12.75">
      <c r="A1957" s="47" t="s">
        <v>14</v>
      </c>
      <c r="B1957" s="46"/>
      <c r="C1957" s="71"/>
      <c r="D1957" s="7"/>
      <c r="E1957" s="7">
        <f t="shared" si="41"/>
        <v>130411</v>
      </c>
      <c r="F1957" s="7"/>
      <c r="G1957" s="7">
        <v>33669</v>
      </c>
      <c r="H1957" s="2"/>
      <c r="I1957" s="7">
        <v>32600</v>
      </c>
      <c r="J1957" s="2"/>
      <c r="K1957" s="7">
        <v>34229</v>
      </c>
      <c r="L1957" s="2"/>
      <c r="M1957" s="7">
        <v>29913</v>
      </c>
    </row>
    <row r="1958" spans="1:13" ht="12.75">
      <c r="A1958" s="41" t="s">
        <v>19</v>
      </c>
      <c r="B1958" s="46"/>
      <c r="C1958" s="71"/>
      <c r="D1958" s="7"/>
      <c r="E1958" s="7">
        <f t="shared" si="41"/>
        <v>86434</v>
      </c>
      <c r="F1958" s="7"/>
      <c r="G1958" s="7">
        <f>21619</f>
        <v>21619</v>
      </c>
      <c r="H1958" s="2"/>
      <c r="I1958" s="7">
        <v>21619</v>
      </c>
      <c r="J1958" s="2"/>
      <c r="K1958" s="7">
        <v>21598</v>
      </c>
      <c r="L1958" s="2"/>
      <c r="M1958" s="7">
        <v>21598</v>
      </c>
    </row>
    <row r="1959" spans="1:13" ht="12.75">
      <c r="A1959" s="41" t="s">
        <v>18</v>
      </c>
      <c r="B1959" s="46"/>
      <c r="C1959" s="7"/>
      <c r="D1959" s="7"/>
      <c r="E1959" s="7">
        <f t="shared" si="41"/>
        <v>1343.3799999999999</v>
      </c>
      <c r="F1959" s="7"/>
      <c r="G1959" s="7">
        <v>210.65</v>
      </c>
      <c r="H1959" s="2"/>
      <c r="I1959" s="7">
        <v>296.47</v>
      </c>
      <c r="J1959" s="2"/>
      <c r="K1959" s="7">
        <v>401.45</v>
      </c>
      <c r="L1959" s="2"/>
      <c r="M1959" s="7">
        <v>434.81</v>
      </c>
    </row>
    <row r="1960" spans="1:13" ht="12.75">
      <c r="A1960" s="41" t="s">
        <v>53</v>
      </c>
      <c r="B1960" s="46"/>
      <c r="C1960" s="7"/>
      <c r="D1960" s="7"/>
      <c r="E1960" s="7">
        <f t="shared" si="41"/>
        <v>6965.1804176000005</v>
      </c>
      <c r="F1960" s="7"/>
      <c r="G1960" s="7">
        <f>0.54857*C1947</f>
        <v>1982.4990658</v>
      </c>
      <c r="H1960" s="2"/>
      <c r="I1960" s="7">
        <f>0.53049*C1947</f>
        <v>1917.1590306</v>
      </c>
      <c r="J1960" s="2"/>
      <c r="K1960" s="7">
        <f>0.60599*K1947</f>
        <v>2198.4590012000003</v>
      </c>
      <c r="L1960" s="2"/>
      <c r="M1960" s="7">
        <f>0.239*K1947</f>
        <v>867.06332</v>
      </c>
    </row>
    <row r="1961" spans="1:13" ht="12.75">
      <c r="A1961" s="41" t="s">
        <v>148</v>
      </c>
      <c r="B1961" s="46"/>
      <c r="C1961" s="7"/>
      <c r="D1961" s="7"/>
      <c r="E1961" s="7">
        <f t="shared" si="41"/>
        <v>463</v>
      </c>
      <c r="F1961" s="7"/>
      <c r="G1961" s="7">
        <v>298</v>
      </c>
      <c r="H1961" s="2"/>
      <c r="I1961" s="7">
        <v>165</v>
      </c>
      <c r="J1961" s="2"/>
      <c r="K1961" s="7"/>
      <c r="L1961" s="2"/>
      <c r="M1961" s="7"/>
    </row>
    <row r="1962" spans="1:13" ht="12.75">
      <c r="A1962" s="41" t="s">
        <v>248</v>
      </c>
      <c r="B1962" s="46"/>
      <c r="C1962" s="7"/>
      <c r="D1962" s="7"/>
      <c r="E1962" s="7"/>
      <c r="F1962" s="7"/>
      <c r="G1962" s="7"/>
      <c r="H1962" s="2"/>
      <c r="I1962" s="7"/>
      <c r="J1962" s="2"/>
      <c r="K1962" s="7">
        <v>3493.6</v>
      </c>
      <c r="L1962" s="2"/>
      <c r="M1962" s="7"/>
    </row>
    <row r="1963" spans="1:13" ht="12.75">
      <c r="A1963" s="41" t="s">
        <v>27</v>
      </c>
      <c r="B1963" s="46"/>
      <c r="C1963" s="7"/>
      <c r="D1963" s="7"/>
      <c r="E1963" s="7">
        <f t="shared" si="41"/>
        <v>771</v>
      </c>
      <c r="F1963" s="7"/>
      <c r="G1963" s="7"/>
      <c r="H1963" s="2"/>
      <c r="I1963" s="7">
        <v>771</v>
      </c>
      <c r="J1963" s="2"/>
      <c r="K1963" s="7"/>
      <c r="L1963" s="2"/>
      <c r="M1963" s="7"/>
    </row>
    <row r="1964" spans="1:13" ht="12.75">
      <c r="A1964" s="41" t="s">
        <v>36</v>
      </c>
      <c r="B1964" s="46"/>
      <c r="C1964" s="7"/>
      <c r="D1964" s="7"/>
      <c r="E1964" s="7">
        <f t="shared" si="41"/>
        <v>6241.33</v>
      </c>
      <c r="F1964" s="7"/>
      <c r="G1964" s="7"/>
      <c r="H1964" s="2" t="s">
        <v>245</v>
      </c>
      <c r="I1964" s="7">
        <v>1596</v>
      </c>
      <c r="J1964" s="2" t="s">
        <v>325</v>
      </c>
      <c r="K1964" s="7">
        <v>2321</v>
      </c>
      <c r="L1964" s="2" t="s">
        <v>397</v>
      </c>
      <c r="M1964" s="7">
        <v>2324.33</v>
      </c>
    </row>
    <row r="1965" spans="1:13" ht="12.75">
      <c r="A1965" s="41" t="s">
        <v>58</v>
      </c>
      <c r="B1965" s="46"/>
      <c r="C1965" s="7"/>
      <c r="D1965" s="7"/>
      <c r="E1965" s="7">
        <f t="shared" si="41"/>
        <v>0</v>
      </c>
      <c r="F1965" s="7"/>
      <c r="G1965" s="7"/>
      <c r="H1965" s="2"/>
      <c r="I1965" s="7"/>
      <c r="J1965" s="2"/>
      <c r="K1965" s="7"/>
      <c r="L1965" s="2"/>
      <c r="M1965" s="7"/>
    </row>
    <row r="1966" spans="1:13" ht="12.75">
      <c r="A1966" s="41" t="s">
        <v>43</v>
      </c>
      <c r="B1966" s="46"/>
      <c r="C1966" s="7"/>
      <c r="D1966" s="7"/>
      <c r="E1966" s="7">
        <f t="shared" si="41"/>
        <v>0</v>
      </c>
      <c r="F1966" s="7"/>
      <c r="G1966" s="7"/>
      <c r="H1966" s="2"/>
      <c r="I1966" s="7"/>
      <c r="J1966" s="2"/>
      <c r="K1966" s="7"/>
      <c r="L1966" s="2"/>
      <c r="M1966" s="7"/>
    </row>
    <row r="1967" spans="1:13" ht="12.75">
      <c r="A1967" s="41" t="s">
        <v>30</v>
      </c>
      <c r="B1967" s="46"/>
      <c r="C1967" s="7"/>
      <c r="D1967" s="7"/>
      <c r="E1967" s="7">
        <f t="shared" si="41"/>
        <v>0</v>
      </c>
      <c r="F1967" s="7"/>
      <c r="G1967" s="7"/>
      <c r="H1967" s="2"/>
      <c r="I1967" s="7"/>
      <c r="J1967" s="2"/>
      <c r="K1967" s="7"/>
      <c r="L1967" s="2"/>
      <c r="M1967" s="7"/>
    </row>
    <row r="1968" spans="1:13" ht="12.75">
      <c r="A1968" s="41" t="s">
        <v>54</v>
      </c>
      <c r="B1968" s="46"/>
      <c r="C1968" s="7"/>
      <c r="D1968" s="7"/>
      <c r="E1968" s="7">
        <f t="shared" si="41"/>
        <v>70.833224</v>
      </c>
      <c r="F1968" s="7"/>
      <c r="G1968" s="7">
        <f>0.0196*C1947</f>
        <v>70.833224</v>
      </c>
      <c r="H1968" s="2"/>
      <c r="I1968" s="7"/>
      <c r="J1968" s="2"/>
      <c r="K1968" s="7"/>
      <c r="L1968" s="2"/>
      <c r="M1968" s="7"/>
    </row>
    <row r="1969" spans="1:13" ht="13.5" thickBot="1">
      <c r="A1969" s="48" t="s">
        <v>55</v>
      </c>
      <c r="B1969" s="49"/>
      <c r="C1969" s="50"/>
      <c r="D1969" s="50"/>
      <c r="E1969" s="50">
        <f t="shared" si="41"/>
        <v>292.90339000000006</v>
      </c>
      <c r="F1969" s="50"/>
      <c r="G1969" s="50"/>
      <c r="H1969" s="22"/>
      <c r="I1969" s="50">
        <f>0.0685*C1947</f>
        <v>247.55489000000003</v>
      </c>
      <c r="J1969" s="22"/>
      <c r="K1969" s="50">
        <f>0.0125*K1947</f>
        <v>45.3485</v>
      </c>
      <c r="L1969" s="22"/>
      <c r="M1969" s="50"/>
    </row>
    <row r="1970" spans="1:13" ht="13.5" thickBot="1">
      <c r="A1970" s="106" t="s">
        <v>76</v>
      </c>
      <c r="B1970" s="81"/>
      <c r="C1970" s="63"/>
      <c r="D1970" s="63"/>
      <c r="E1970" s="63">
        <f t="shared" si="41"/>
        <v>268149.093728</v>
      </c>
      <c r="F1970" s="63"/>
      <c r="G1970" s="63">
        <f>G1954+G1956</f>
        <v>65121.0716256</v>
      </c>
      <c r="H1970" s="26"/>
      <c r="I1970" s="63">
        <f>I1954+I1956</f>
        <v>72204.1402764</v>
      </c>
      <c r="J1970" s="26"/>
      <c r="K1970" s="63">
        <f>K1954+K1956</f>
        <v>69275.0142264</v>
      </c>
      <c r="L1970" s="26"/>
      <c r="M1970" s="29">
        <f>M1954+M1956</f>
        <v>61548.8675996</v>
      </c>
    </row>
    <row r="1971" spans="1:13" ht="21.75">
      <c r="A1971" s="54" t="s">
        <v>15</v>
      </c>
      <c r="B1971" s="55"/>
      <c r="C1971" s="66"/>
      <c r="D1971" s="66"/>
      <c r="E1971" s="56">
        <f t="shared" si="41"/>
        <v>0</v>
      </c>
      <c r="F1971" s="66"/>
      <c r="G1971" s="56"/>
      <c r="H1971" s="74"/>
      <c r="I1971" s="56"/>
      <c r="J1971" s="74"/>
      <c r="K1971" s="56"/>
      <c r="L1971" s="74"/>
      <c r="M1971" s="56"/>
    </row>
    <row r="1972" spans="1:13" ht="12.75">
      <c r="A1972" s="41" t="s">
        <v>17</v>
      </c>
      <c r="B1972" s="46"/>
      <c r="C1972" s="7"/>
      <c r="D1972" s="7"/>
      <c r="E1972" s="7">
        <f t="shared" si="41"/>
        <v>102373.8970956</v>
      </c>
      <c r="F1972" s="7"/>
      <c r="G1972" s="7">
        <f>6.73321*C1947</f>
        <v>24333.4169474</v>
      </c>
      <c r="H1972" s="2"/>
      <c r="I1972" s="7">
        <f>7.02207*C1947</f>
        <v>25377.339655800002</v>
      </c>
      <c r="J1972" s="2"/>
      <c r="K1972" s="7">
        <f>7.2754*K1947</f>
        <v>26394.278152000003</v>
      </c>
      <c r="L1972" s="2"/>
      <c r="M1972" s="7">
        <f>7.24083*K1947</f>
        <v>26268.8623404</v>
      </c>
    </row>
    <row r="1973" spans="1:13" ht="12.75">
      <c r="A1973" s="41" t="s">
        <v>337</v>
      </c>
      <c r="B1973" s="46"/>
      <c r="C1973" s="71"/>
      <c r="D1973" s="7"/>
      <c r="E1973" s="7">
        <f t="shared" si="41"/>
        <v>45695</v>
      </c>
      <c r="F1973" s="7"/>
      <c r="G1973" s="7">
        <v>1180</v>
      </c>
      <c r="H1973" s="2"/>
      <c r="I1973" s="7">
        <v>199.92</v>
      </c>
      <c r="J1973" s="2" t="s">
        <v>338</v>
      </c>
      <c r="K1973" s="7">
        <v>44315.08</v>
      </c>
      <c r="L1973" s="2"/>
      <c r="M1973" s="7"/>
    </row>
    <row r="1974" spans="1:13" ht="12.75">
      <c r="A1974" s="41" t="s">
        <v>67</v>
      </c>
      <c r="B1974" s="46"/>
      <c r="C1974" s="7"/>
      <c r="D1974" s="7"/>
      <c r="E1974" s="7">
        <f t="shared" si="41"/>
        <v>9207.5</v>
      </c>
      <c r="F1974" s="7"/>
      <c r="G1974" s="7">
        <v>4337.5</v>
      </c>
      <c r="H1974" s="2"/>
      <c r="I1974" s="7">
        <v>3725</v>
      </c>
      <c r="J1974" s="2"/>
      <c r="K1974" s="7"/>
      <c r="L1974" s="2"/>
      <c r="M1974" s="7">
        <v>1145</v>
      </c>
    </row>
    <row r="1975" spans="1:13" ht="12.75">
      <c r="A1975" s="41" t="s">
        <v>68</v>
      </c>
      <c r="B1975" s="46"/>
      <c r="C1975" s="7"/>
      <c r="D1975" s="7"/>
      <c r="E1975" s="7">
        <f t="shared" si="41"/>
        <v>361</v>
      </c>
      <c r="F1975" s="7"/>
      <c r="G1975" s="7"/>
      <c r="H1975" s="2"/>
      <c r="I1975" s="7"/>
      <c r="J1975" s="2"/>
      <c r="K1975" s="7">
        <v>174</v>
      </c>
      <c r="L1975" s="2"/>
      <c r="M1975" s="7">
        <v>187</v>
      </c>
    </row>
    <row r="1976" spans="1:13" ht="12.75">
      <c r="A1976" s="41" t="s">
        <v>69</v>
      </c>
      <c r="B1976" s="46"/>
      <c r="C1976" s="7"/>
      <c r="D1976" s="7"/>
      <c r="E1976" s="7">
        <f t="shared" si="41"/>
        <v>240</v>
      </c>
      <c r="F1976" s="7"/>
      <c r="G1976" s="7"/>
      <c r="H1976" s="2"/>
      <c r="I1976" s="7"/>
      <c r="J1976" s="2"/>
      <c r="K1976" s="7">
        <v>240</v>
      </c>
      <c r="L1976" s="2"/>
      <c r="M1976" s="7"/>
    </row>
    <row r="1977" spans="1:13" ht="12.75">
      <c r="A1977" s="41" t="s">
        <v>26</v>
      </c>
      <c r="B1977" s="46"/>
      <c r="C1977" s="7"/>
      <c r="D1977" s="7"/>
      <c r="E1977" s="7">
        <f t="shared" si="41"/>
        <v>2245</v>
      </c>
      <c r="F1977" s="7"/>
      <c r="G1977" s="7"/>
      <c r="H1977" s="2"/>
      <c r="I1977" s="7">
        <v>465</v>
      </c>
      <c r="J1977" s="2"/>
      <c r="K1977" s="7">
        <v>1285</v>
      </c>
      <c r="L1977" s="2"/>
      <c r="M1977" s="7">
        <v>495</v>
      </c>
    </row>
    <row r="1978" spans="1:13" ht="12.75">
      <c r="A1978" s="41" t="s">
        <v>28</v>
      </c>
      <c r="B1978" s="46"/>
      <c r="C1978" s="7"/>
      <c r="D1978" s="7"/>
      <c r="E1978" s="7">
        <f t="shared" si="41"/>
        <v>1642</v>
      </c>
      <c r="F1978" s="7"/>
      <c r="G1978" s="7"/>
      <c r="H1978" s="2"/>
      <c r="I1978" s="7"/>
      <c r="J1978" s="2"/>
      <c r="K1978" s="7"/>
      <c r="L1978" s="2"/>
      <c r="M1978" s="7">
        <v>1642</v>
      </c>
    </row>
    <row r="1979" spans="1:13" ht="12.75">
      <c r="A1979" s="41" t="s">
        <v>320</v>
      </c>
      <c r="B1979" s="46"/>
      <c r="C1979" s="7"/>
      <c r="D1979" s="7"/>
      <c r="E1979" s="7"/>
      <c r="F1979" s="7"/>
      <c r="G1979" s="7"/>
      <c r="H1979" s="2"/>
      <c r="I1979" s="7"/>
      <c r="J1979" s="2"/>
      <c r="K1979" s="7">
        <v>1310</v>
      </c>
      <c r="L1979" s="2"/>
      <c r="M1979" s="7"/>
    </row>
    <row r="1980" spans="1:13" ht="12.75">
      <c r="A1980" s="41" t="s">
        <v>341</v>
      </c>
      <c r="B1980" s="46"/>
      <c r="C1980" s="7"/>
      <c r="D1980" s="7"/>
      <c r="E1980" s="7">
        <f t="shared" si="41"/>
        <v>1624</v>
      </c>
      <c r="F1980" s="7"/>
      <c r="G1980" s="7"/>
      <c r="H1980" s="2"/>
      <c r="I1980" s="7"/>
      <c r="J1980" s="2"/>
      <c r="K1980" s="7">
        <v>1624</v>
      </c>
      <c r="L1980" s="2"/>
      <c r="M1980" s="7"/>
    </row>
    <row r="1981" spans="1:13" ht="12.75">
      <c r="A1981" s="41" t="s">
        <v>246</v>
      </c>
      <c r="B1981" s="46"/>
      <c r="C1981" s="7"/>
      <c r="D1981" s="7"/>
      <c r="E1981" s="7">
        <f t="shared" si="41"/>
        <v>320</v>
      </c>
      <c r="F1981" s="7"/>
      <c r="G1981" s="7"/>
      <c r="H1981" s="2"/>
      <c r="I1981" s="7">
        <v>320</v>
      </c>
      <c r="J1981" s="2"/>
      <c r="K1981" s="7"/>
      <c r="L1981" s="2"/>
      <c r="M1981" s="7"/>
    </row>
    <row r="1982" spans="1:13" ht="12.75">
      <c r="A1982" s="41" t="s">
        <v>62</v>
      </c>
      <c r="B1982" s="46"/>
      <c r="C1982" s="7"/>
      <c r="D1982" s="7"/>
      <c r="E1982" s="7">
        <f t="shared" si="41"/>
        <v>0</v>
      </c>
      <c r="F1982" s="7"/>
      <c r="G1982" s="7"/>
      <c r="H1982" s="2"/>
      <c r="I1982" s="7"/>
      <c r="J1982" s="2"/>
      <c r="K1982" s="7"/>
      <c r="L1982" s="2"/>
      <c r="M1982" s="7"/>
    </row>
    <row r="1983" spans="1:13" ht="12.75">
      <c r="A1983" s="41" t="s">
        <v>342</v>
      </c>
      <c r="B1983" s="46"/>
      <c r="C1983" s="7"/>
      <c r="D1983" s="7"/>
      <c r="E1983" s="7">
        <f t="shared" si="41"/>
        <v>7880</v>
      </c>
      <c r="F1983" s="7"/>
      <c r="G1983" s="7"/>
      <c r="H1983" s="2"/>
      <c r="I1983" s="7"/>
      <c r="J1983" s="2"/>
      <c r="K1983" s="7">
        <v>7880</v>
      </c>
      <c r="L1983" s="2"/>
      <c r="M1983" s="7"/>
    </row>
    <row r="1984" spans="1:13" ht="12.75">
      <c r="A1984" s="41" t="s">
        <v>340</v>
      </c>
      <c r="B1984" s="46"/>
      <c r="C1984" s="7"/>
      <c r="D1984" s="7"/>
      <c r="E1984" s="7">
        <f t="shared" si="41"/>
        <v>15100</v>
      </c>
      <c r="F1984" s="7"/>
      <c r="G1984" s="7"/>
      <c r="H1984" s="2"/>
      <c r="I1984" s="7"/>
      <c r="J1984" s="2"/>
      <c r="K1984" s="7">
        <v>15100</v>
      </c>
      <c r="L1984" s="2"/>
      <c r="M1984" s="7"/>
    </row>
    <row r="1985" spans="1:13" ht="12.75">
      <c r="A1985" s="41" t="s">
        <v>51</v>
      </c>
      <c r="B1985" s="46"/>
      <c r="C1985" s="7"/>
      <c r="D1985" s="7"/>
      <c r="E1985" s="7">
        <f t="shared" si="41"/>
        <v>2576.35</v>
      </c>
      <c r="F1985" s="7"/>
      <c r="G1985" s="7"/>
      <c r="H1985" s="2"/>
      <c r="I1985" s="7">
        <v>2576.35</v>
      </c>
      <c r="J1985" s="2"/>
      <c r="K1985" s="7"/>
      <c r="L1985" s="2"/>
      <c r="M1985" s="7"/>
    </row>
    <row r="1986" spans="1:13" ht="12.75">
      <c r="A1986" s="58" t="s">
        <v>52</v>
      </c>
      <c r="B1986" s="46"/>
      <c r="C1986" s="7"/>
      <c r="D1986" s="7"/>
      <c r="E1986" s="7">
        <f t="shared" si="41"/>
        <v>0</v>
      </c>
      <c r="F1986" s="7"/>
      <c r="G1986" s="7"/>
      <c r="H1986" s="2"/>
      <c r="I1986" s="7"/>
      <c r="J1986" s="2"/>
      <c r="K1986" s="7"/>
      <c r="L1986" s="2"/>
      <c r="M1986" s="7"/>
    </row>
    <row r="1987" spans="1:13" ht="12.75">
      <c r="A1987" s="41" t="s">
        <v>343</v>
      </c>
      <c r="B1987" s="46"/>
      <c r="C1987" s="7"/>
      <c r="D1987" s="7"/>
      <c r="E1987" s="7">
        <f t="shared" si="41"/>
        <v>224</v>
      </c>
      <c r="F1987" s="7"/>
      <c r="G1987" s="7"/>
      <c r="H1987" s="2"/>
      <c r="I1987" s="7"/>
      <c r="J1987" s="2"/>
      <c r="K1987" s="7">
        <v>224</v>
      </c>
      <c r="L1987" s="2"/>
      <c r="M1987" s="7"/>
    </row>
    <row r="1988" spans="1:13" ht="12.75">
      <c r="A1988" s="41" t="s">
        <v>65</v>
      </c>
      <c r="B1988" s="46"/>
      <c r="C1988" s="7"/>
      <c r="D1988" s="7"/>
      <c r="E1988" s="7">
        <f t="shared" si="41"/>
        <v>0</v>
      </c>
      <c r="F1988" s="7"/>
      <c r="G1988" s="7"/>
      <c r="H1988" s="2"/>
      <c r="I1988" s="7"/>
      <c r="J1988" s="2"/>
      <c r="K1988" s="7"/>
      <c r="L1988" s="2"/>
      <c r="M1988" s="7"/>
    </row>
    <row r="1989" spans="1:13" ht="12.75">
      <c r="A1989" s="41" t="s">
        <v>57</v>
      </c>
      <c r="B1989" s="46"/>
      <c r="C1989" s="7"/>
      <c r="D1989" s="7"/>
      <c r="E1989" s="7">
        <f t="shared" si="41"/>
        <v>25.658974</v>
      </c>
      <c r="F1989" s="7"/>
      <c r="G1989" s="7"/>
      <c r="H1989" s="2"/>
      <c r="I1989" s="7">
        <f>0.0071*C1947</f>
        <v>25.658974</v>
      </c>
      <c r="J1989" s="2"/>
      <c r="K1989" s="7"/>
      <c r="L1989" s="2"/>
      <c r="M1989" s="7"/>
    </row>
    <row r="1990" spans="1:13" ht="12.75">
      <c r="A1990" s="41" t="s">
        <v>33</v>
      </c>
      <c r="B1990" s="46"/>
      <c r="C1990" s="7"/>
      <c r="D1990" s="7"/>
      <c r="E1990" s="7">
        <f t="shared" si="41"/>
        <v>3162</v>
      </c>
      <c r="F1990" s="15"/>
      <c r="G1990" s="7"/>
      <c r="H1990" s="2"/>
      <c r="I1990" s="7"/>
      <c r="J1990" s="2"/>
      <c r="K1990" s="7"/>
      <c r="L1990" s="2"/>
      <c r="M1990" s="7">
        <v>3162</v>
      </c>
    </row>
    <row r="1991" spans="1:13" ht="12.75">
      <c r="A1991" s="41" t="s">
        <v>50</v>
      </c>
      <c r="B1991" s="46"/>
      <c r="C1991" s="7"/>
      <c r="D1991" s="7"/>
      <c r="E1991" s="7">
        <f t="shared" si="41"/>
        <v>3966.097374</v>
      </c>
      <c r="F1991" s="7"/>
      <c r="G1991" s="7">
        <f>0.2455*C1947</f>
        <v>887.22227</v>
      </c>
      <c r="H1991" s="2"/>
      <c r="I1991" s="7">
        <f>0.5802*C1947</f>
        <v>2096.807988</v>
      </c>
      <c r="J1991" s="2"/>
      <c r="K1991" s="7">
        <f>0.1437*K1947</f>
        <v>521.326356</v>
      </c>
      <c r="L1991" s="2"/>
      <c r="M1991" s="7">
        <f>0.127*K1947</f>
        <v>460.74076</v>
      </c>
    </row>
    <row r="1992" spans="1:13" ht="13.5" thickBot="1">
      <c r="A1992" s="48" t="s">
        <v>54</v>
      </c>
      <c r="B1992" s="49"/>
      <c r="C1992" s="50"/>
      <c r="D1992" s="50"/>
      <c r="E1992" s="50">
        <f t="shared" si="41"/>
        <v>111.629972</v>
      </c>
      <c r="F1992" s="50"/>
      <c r="G1992" s="50"/>
      <c r="H1992" s="22"/>
      <c r="I1992" s="50">
        <f>0.0078*C1947</f>
        <v>28.188731999999998</v>
      </c>
      <c r="J1992" s="22"/>
      <c r="K1992" s="50">
        <f>0.011*K1947</f>
        <v>39.90668</v>
      </c>
      <c r="L1992" s="22"/>
      <c r="M1992" s="50">
        <f>0.012*K1947</f>
        <v>43.53456</v>
      </c>
    </row>
    <row r="1993" spans="1:13" ht="13.5" thickBot="1">
      <c r="A1993" s="59" t="s">
        <v>10</v>
      </c>
      <c r="B1993" s="81"/>
      <c r="C1993" s="63"/>
      <c r="D1993" s="63"/>
      <c r="E1993" s="63">
        <f t="shared" si="41"/>
        <v>198064.1334156</v>
      </c>
      <c r="F1993" s="63"/>
      <c r="G1993" s="63">
        <f>SUM(G1972:G1992)</f>
        <v>30738.1392174</v>
      </c>
      <c r="H1993" s="26"/>
      <c r="I1993" s="63">
        <f>SUM(I1972:I1992)</f>
        <v>34814.2653498</v>
      </c>
      <c r="J1993" s="26"/>
      <c r="K1993" s="63">
        <f>SUM(K1972:K1992)</f>
        <v>99107.591188</v>
      </c>
      <c r="L1993" s="26"/>
      <c r="M1993" s="29">
        <f>SUM(M1972:M1992)</f>
        <v>33404.137660399996</v>
      </c>
    </row>
    <row r="1994" spans="1:13" ht="13.5" thickBot="1">
      <c r="A1994" s="59" t="s">
        <v>42</v>
      </c>
      <c r="B1994" s="52"/>
      <c r="C1994" s="53"/>
      <c r="D1994" s="53"/>
      <c r="E1994" s="63">
        <f t="shared" si="41"/>
        <v>0</v>
      </c>
      <c r="F1994" s="53"/>
      <c r="G1994" s="63"/>
      <c r="H1994" s="26"/>
      <c r="I1994" s="63"/>
      <c r="J1994" s="26"/>
      <c r="K1994" s="63"/>
      <c r="L1994" s="26"/>
      <c r="M1994" s="29"/>
    </row>
    <row r="1995" spans="1:13" ht="12.75">
      <c r="A1995" s="95" t="s">
        <v>56</v>
      </c>
      <c r="B1995" s="61"/>
      <c r="C1995" s="56"/>
      <c r="D1995" s="56"/>
      <c r="E1995" s="56">
        <f t="shared" si="41"/>
        <v>0</v>
      </c>
      <c r="F1995" s="56"/>
      <c r="G1995" s="56"/>
      <c r="H1995" s="74"/>
      <c r="I1995" s="56"/>
      <c r="J1995" s="74"/>
      <c r="K1995" s="56"/>
      <c r="L1995" s="74"/>
      <c r="M1995" s="56"/>
    </row>
    <row r="1996" spans="1:13" ht="12.75">
      <c r="A1996" s="74" t="s">
        <v>428</v>
      </c>
      <c r="B1996" s="61"/>
      <c r="C1996" s="56"/>
      <c r="D1996" s="56"/>
      <c r="E1996" s="56">
        <f t="shared" si="41"/>
        <v>267.2</v>
      </c>
      <c r="F1996" s="56"/>
      <c r="G1996" s="56"/>
      <c r="H1996" s="74"/>
      <c r="I1996" s="56"/>
      <c r="J1996" s="74"/>
      <c r="K1996" s="56"/>
      <c r="L1996" s="74"/>
      <c r="M1996" s="56">
        <v>267.2</v>
      </c>
    </row>
    <row r="1997" spans="1:13" ht="12.75">
      <c r="A1997" s="41" t="s">
        <v>16</v>
      </c>
      <c r="B1997" s="46"/>
      <c r="C1997" s="7"/>
      <c r="D1997" s="7"/>
      <c r="E1997" s="56">
        <f t="shared" si="41"/>
        <v>129.39125</v>
      </c>
      <c r="F1997" s="7"/>
      <c r="G1997" s="7">
        <f>0.0089*C1947</f>
        <v>32.164066</v>
      </c>
      <c r="H1997" s="2"/>
      <c r="I1997" s="7"/>
      <c r="J1997" s="2"/>
      <c r="K1997" s="7"/>
      <c r="L1997" s="2"/>
      <c r="M1997" s="7">
        <f>0.0268*K1947</f>
        <v>97.22718400000001</v>
      </c>
    </row>
    <row r="1998" spans="1:13" ht="13.5" thickBot="1">
      <c r="A1998" s="48" t="s">
        <v>339</v>
      </c>
      <c r="B1998" s="49"/>
      <c r="C1998" s="50"/>
      <c r="D1998" s="50"/>
      <c r="E1998" s="116">
        <f t="shared" si="41"/>
        <v>600</v>
      </c>
      <c r="F1998" s="50"/>
      <c r="G1998" s="50"/>
      <c r="H1998" s="22"/>
      <c r="I1998" s="50"/>
      <c r="J1998" s="22"/>
      <c r="K1998" s="50">
        <v>600</v>
      </c>
      <c r="L1998" s="22"/>
      <c r="M1998" s="50"/>
    </row>
    <row r="1999" spans="1:13" ht="13.5" thickBot="1">
      <c r="A1999" s="62" t="s">
        <v>10</v>
      </c>
      <c r="B1999" s="81"/>
      <c r="C1999" s="63"/>
      <c r="D1999" s="63"/>
      <c r="E1999" s="63">
        <f t="shared" si="41"/>
        <v>996.5912500000001</v>
      </c>
      <c r="F1999" s="63"/>
      <c r="G1999" s="63">
        <f>SUM(G1997)</f>
        <v>32.164066</v>
      </c>
      <c r="H1999" s="26"/>
      <c r="I1999" s="63"/>
      <c r="J1999" s="26"/>
      <c r="K1999" s="63">
        <f>SUM(K1995:K1998)</f>
        <v>600</v>
      </c>
      <c r="L1999" s="26"/>
      <c r="M1999" s="29">
        <f>SUM(M1995:M1998)</f>
        <v>364.427184</v>
      </c>
    </row>
    <row r="2000" spans="1:13" ht="13.5" thickBot="1">
      <c r="A2000" s="148" t="s">
        <v>29</v>
      </c>
      <c r="B2000" s="115"/>
      <c r="C2000" s="116"/>
      <c r="D2000" s="116"/>
      <c r="E2000" s="116">
        <f t="shared" si="41"/>
        <v>8303.411918000002</v>
      </c>
      <c r="F2000" s="116"/>
      <c r="G2000" s="116">
        <f>0.4236*C1947</f>
        <v>1530.864984</v>
      </c>
      <c r="H2000" s="129"/>
      <c r="I2000" s="116">
        <f>0.5971*C1947</f>
        <v>2157.883574</v>
      </c>
      <c r="J2000" s="129"/>
      <c r="K2000" s="116"/>
      <c r="L2000" s="129"/>
      <c r="M2000" s="116">
        <f>1.272*K1947</f>
        <v>4614.6633600000005</v>
      </c>
    </row>
    <row r="2001" spans="1:13" ht="22.5" thickBot="1">
      <c r="A2001" s="109" t="s">
        <v>83</v>
      </c>
      <c r="B2001" s="81"/>
      <c r="C2001" s="63"/>
      <c r="D2001" s="63"/>
      <c r="E2001" s="63">
        <f t="shared" si="41"/>
        <v>475513.2303116</v>
      </c>
      <c r="F2001" s="63"/>
      <c r="G2001" s="63">
        <f>G1970+G1993+G1999+G2000</f>
        <v>97422.239893</v>
      </c>
      <c r="H2001" s="26"/>
      <c r="I2001" s="63">
        <f>I1970+I1993+I1999+I2000</f>
        <v>109176.2892002</v>
      </c>
      <c r="J2001" s="26"/>
      <c r="K2001" s="63">
        <f>K1970+K1993++K1999+K2000</f>
        <v>168982.6054144</v>
      </c>
      <c r="L2001" s="26"/>
      <c r="M2001" s="29">
        <f>M1970+M1993+M1999+M2000</f>
        <v>99932.09580400001</v>
      </c>
    </row>
    <row r="2002" spans="1:13" ht="33.75">
      <c r="A2002" s="107" t="s">
        <v>84</v>
      </c>
      <c r="B2002" s="61"/>
      <c r="C2002" s="56"/>
      <c r="D2002" s="56"/>
      <c r="E2002" s="108">
        <f>E2001/12/C1947</f>
        <v>10.964792588135573</v>
      </c>
      <c r="F2002" s="56"/>
      <c r="G2002" s="108">
        <f>G2001/3/C1947</f>
        <v>8.985782819950893</v>
      </c>
      <c r="H2002" s="74"/>
      <c r="I2002" s="108">
        <f>I2001/3/C1947</f>
        <v>10.069922688275584</v>
      </c>
      <c r="J2002" s="74"/>
      <c r="K2002" s="108">
        <f>K2001/3/K1947</f>
        <v>15.52629500924323</v>
      </c>
      <c r="L2002" s="74"/>
      <c r="M2002" s="108">
        <f>M2001/3/K1947</f>
        <v>9.181863402685131</v>
      </c>
    </row>
    <row r="2003" spans="1:13" ht="12.75">
      <c r="A2003" s="69" t="s">
        <v>20</v>
      </c>
      <c r="B2003" s="44"/>
      <c r="C2003" s="45"/>
      <c r="D2003" s="45"/>
      <c r="E2003" s="45">
        <f>E1952-E2001</f>
        <v>-62672.36031160003</v>
      </c>
      <c r="F2003" s="45"/>
      <c r="G2003" s="7">
        <f>G1952-G2001</f>
        <v>-7615.659893000004</v>
      </c>
      <c r="H2003" s="2"/>
      <c r="I2003" s="7">
        <f>I1952-I2001-7616</f>
        <v>5689.94079980001</v>
      </c>
      <c r="J2003" s="2"/>
      <c r="K2003" s="7">
        <f>K1952-K2001+I2003</f>
        <v>-55462.97461459998</v>
      </c>
      <c r="L2003" s="2"/>
      <c r="M2003" s="7">
        <f>M1952-M2001-55463</f>
        <v>-62672.725804000016</v>
      </c>
    </row>
    <row r="2004" spans="1:13" ht="12.75">
      <c r="A2004" s="14" t="s">
        <v>24</v>
      </c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</row>
    <row r="2005" spans="1:13" ht="12.75">
      <c r="A2005" s="14" t="s">
        <v>35</v>
      </c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</row>
    <row r="2006" spans="1:13" ht="12.75">
      <c r="A2006" s="14" t="s">
        <v>25</v>
      </c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</row>
    <row r="2007" spans="1:13" ht="12.75">
      <c r="A2007" s="14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</row>
    <row r="2008" spans="1:13" ht="12.75">
      <c r="A2008" s="14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</row>
    <row r="2009" spans="1:13" ht="12.75">
      <c r="A2009" s="14"/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</row>
    <row r="2010" spans="1:13" ht="12.75">
      <c r="A2010" s="14"/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</row>
    <row r="2011" spans="1:13" ht="12.75">
      <c r="A2011" s="14"/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</row>
    <row r="2012" spans="1:13" ht="12.75">
      <c r="A2012" s="14"/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</row>
    <row r="2013" spans="1:13" ht="12.75">
      <c r="A2013" s="14"/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</row>
    <row r="2014" spans="1:13" ht="12.75">
      <c r="A2014" s="14"/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</row>
    <row r="2015" spans="1:13" ht="12.75">
      <c r="A2015" s="14"/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</row>
    <row r="2016" spans="1:13" ht="12.75">
      <c r="A2016" s="14"/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</row>
    <row r="2017" spans="1:13" ht="12.75">
      <c r="A2017" s="14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</row>
    <row r="2018" spans="1:13" ht="12.75">
      <c r="A2018" s="14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</row>
    <row r="2019" spans="1:13" ht="12.75">
      <c r="A2019" s="14"/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</row>
    <row r="2020" spans="1:13" ht="12.75">
      <c r="A2020" s="14"/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</row>
    <row r="2021" spans="1:13" ht="12.75">
      <c r="A2021" s="14"/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</row>
    <row r="2022" spans="1:13" ht="12.75">
      <c r="A2022" s="14"/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</row>
    <row r="2023" spans="1:13" ht="12" customHeight="1">
      <c r="A2023" s="14"/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</row>
    <row r="2024" spans="1:13" ht="12.75" hidden="1">
      <c r="A2024" s="14"/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</row>
    <row r="2025" spans="1:13" ht="12.75" hidden="1">
      <c r="A2025" s="14"/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</row>
    <row r="2026" spans="1:13" ht="12.75" hidden="1">
      <c r="A2026" s="14"/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</row>
    <row r="2027" spans="1:13" ht="12.75" hidden="1">
      <c r="A2027" s="14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</row>
    <row r="2028" spans="1:13" ht="12.75" hidden="1">
      <c r="A2028" s="14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</row>
    <row r="2029" spans="1:13" ht="12.75" hidden="1">
      <c r="A2029" s="14"/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</row>
    <row r="2030" spans="1:13" ht="12.75">
      <c r="A2030" s="31" t="s">
        <v>21</v>
      </c>
      <c r="B2030" s="31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</row>
    <row r="2031" spans="1:13" ht="12.75">
      <c r="A2031" s="14" t="s">
        <v>31</v>
      </c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</row>
    <row r="2032" spans="1:13" ht="12.75">
      <c r="A2032" s="14" t="s">
        <v>41</v>
      </c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</row>
    <row r="2033" spans="1:13" ht="12.75">
      <c r="A2033" s="14" t="s">
        <v>122</v>
      </c>
      <c r="B2033" s="14"/>
      <c r="C2033" s="14"/>
      <c r="D2033" s="14"/>
      <c r="E2033" s="14" t="s">
        <v>32</v>
      </c>
      <c r="F2033" s="14"/>
      <c r="G2033" s="14"/>
      <c r="H2033" s="14"/>
      <c r="I2033" s="14"/>
      <c r="J2033" s="14"/>
      <c r="K2033" s="14"/>
      <c r="L2033" s="14"/>
      <c r="M2033" s="14"/>
    </row>
    <row r="2034" spans="1:13" ht="12.75" customHeight="1">
      <c r="A2034" s="6" t="s">
        <v>0</v>
      </c>
      <c r="B2034" s="151" t="s">
        <v>38</v>
      </c>
      <c r="C2034" s="152"/>
      <c r="D2034" s="149" t="s">
        <v>39</v>
      </c>
      <c r="E2034" s="150"/>
      <c r="F2034" s="149" t="s">
        <v>96</v>
      </c>
      <c r="G2034" s="150"/>
      <c r="H2034" s="149" t="s">
        <v>97</v>
      </c>
      <c r="I2034" s="150"/>
      <c r="J2034" s="149" t="s">
        <v>98</v>
      </c>
      <c r="K2034" s="150"/>
      <c r="L2034" s="149" t="s">
        <v>99</v>
      </c>
      <c r="M2034" s="150"/>
    </row>
    <row r="2035" spans="1:13" ht="12.75">
      <c r="A2035" s="11" t="s">
        <v>5</v>
      </c>
      <c r="B2035" s="153"/>
      <c r="C2035" s="154"/>
      <c r="D2035" s="6" t="s">
        <v>40</v>
      </c>
      <c r="E2035" s="6" t="s">
        <v>22</v>
      </c>
      <c r="F2035" s="6" t="s">
        <v>40</v>
      </c>
      <c r="G2035" s="13" t="s">
        <v>22</v>
      </c>
      <c r="H2035" s="2"/>
      <c r="I2035" s="2"/>
      <c r="J2035" s="2"/>
      <c r="K2035" s="2"/>
      <c r="L2035" s="2"/>
      <c r="M2035" s="2"/>
    </row>
    <row r="2036" spans="1:13" ht="12.75">
      <c r="A2036" s="2" t="s">
        <v>1</v>
      </c>
      <c r="B2036" s="2"/>
      <c r="C2036" s="6">
        <v>5</v>
      </c>
      <c r="D2036" s="2"/>
      <c r="E2036" s="2"/>
      <c r="F2036" s="2"/>
      <c r="G2036" s="2"/>
      <c r="H2036" s="2"/>
      <c r="I2036" s="2"/>
      <c r="J2036" s="2"/>
      <c r="K2036" s="2"/>
      <c r="L2036" s="2"/>
      <c r="M2036" s="2"/>
    </row>
    <row r="2037" spans="1:13" ht="12.75">
      <c r="A2037" s="2" t="s">
        <v>2</v>
      </c>
      <c r="B2037" s="2"/>
      <c r="C2037" s="6">
        <v>6</v>
      </c>
      <c r="D2037" s="2"/>
      <c r="E2037" s="2"/>
      <c r="F2037" s="2"/>
      <c r="G2037" s="2"/>
      <c r="H2037" s="2"/>
      <c r="I2037" s="2"/>
      <c r="J2037" s="2"/>
      <c r="K2037" s="2"/>
      <c r="L2037" s="2"/>
      <c r="M2037" s="2"/>
    </row>
    <row r="2038" spans="1:13" ht="12.75">
      <c r="A2038" s="2" t="s">
        <v>3</v>
      </c>
      <c r="B2038" s="2"/>
      <c r="C2038" s="6">
        <v>60</v>
      </c>
      <c r="D2038" s="2"/>
      <c r="E2038" s="2"/>
      <c r="F2038" s="2"/>
      <c r="G2038" s="2"/>
      <c r="H2038" s="2"/>
      <c r="I2038" s="2"/>
      <c r="J2038" s="2"/>
      <c r="K2038" s="2"/>
      <c r="L2038" s="2"/>
      <c r="M2038" s="2"/>
    </row>
    <row r="2039" spans="1:13" ht="12.75">
      <c r="A2039" s="2" t="s">
        <v>4</v>
      </c>
      <c r="B2039" s="6"/>
      <c r="C2039" s="6">
        <v>3619.08</v>
      </c>
      <c r="D2039" s="6"/>
      <c r="E2039" s="6"/>
      <c r="F2039" s="6"/>
      <c r="G2039" s="2"/>
      <c r="H2039" s="2"/>
      <c r="I2039" s="2"/>
      <c r="J2039" s="2"/>
      <c r="K2039" s="2">
        <v>3629.13</v>
      </c>
      <c r="L2039" s="2"/>
      <c r="M2039" s="2"/>
    </row>
    <row r="2040" spans="1:13" ht="21.75">
      <c r="A2040" s="35" t="s">
        <v>6</v>
      </c>
      <c r="B2040" s="11" t="s">
        <v>40</v>
      </c>
      <c r="C2040" s="2" t="s">
        <v>22</v>
      </c>
      <c r="D2040" s="2"/>
      <c r="E2040" s="2"/>
      <c r="F2040" s="2"/>
      <c r="G2040" s="2"/>
      <c r="H2040" s="2"/>
      <c r="I2040" s="2"/>
      <c r="J2040" s="2"/>
      <c r="K2040" s="2"/>
      <c r="L2040" s="2"/>
      <c r="M2040" s="2"/>
    </row>
    <row r="2041" spans="1:13" ht="22.5">
      <c r="A2041" s="40" t="s">
        <v>7</v>
      </c>
      <c r="B2041" s="3"/>
      <c r="C2041" s="6"/>
      <c r="D2041" s="6"/>
      <c r="E2041" s="6">
        <f>G2041+I2041+K2041+M2041</f>
        <v>387630.51999999996</v>
      </c>
      <c r="F2041" s="2"/>
      <c r="G2041" s="2">
        <v>92252.13</v>
      </c>
      <c r="H2041" s="2"/>
      <c r="I2041" s="2">
        <v>94011.54</v>
      </c>
      <c r="J2041" s="2"/>
      <c r="K2041" s="2">
        <v>97402.61</v>
      </c>
      <c r="L2041" s="2"/>
      <c r="M2041" s="2">
        <v>103964.24</v>
      </c>
    </row>
    <row r="2042" spans="1:13" ht="12.75">
      <c r="A2042" s="41" t="s">
        <v>8</v>
      </c>
      <c r="B2042" s="3"/>
      <c r="C2042" s="6"/>
      <c r="D2042" s="6"/>
      <c r="E2042" s="6">
        <f aca="true" t="shared" si="42" ref="E2042:E2098">G2042+I2042+K2042+M2042</f>
        <v>0</v>
      </c>
      <c r="F2042" s="2"/>
      <c r="G2042" s="2"/>
      <c r="H2042" s="2"/>
      <c r="I2042" s="2"/>
      <c r="J2042" s="2"/>
      <c r="K2042" s="2"/>
      <c r="L2042" s="2"/>
      <c r="M2042" s="2"/>
    </row>
    <row r="2043" spans="1:13" ht="12.75">
      <c r="A2043" s="41" t="s">
        <v>9</v>
      </c>
      <c r="B2043" s="3"/>
      <c r="C2043" s="6"/>
      <c r="D2043" s="6"/>
      <c r="E2043" s="6">
        <f t="shared" si="42"/>
        <v>0</v>
      </c>
      <c r="F2043" s="2"/>
      <c r="G2043" s="2"/>
      <c r="H2043" s="2"/>
      <c r="I2043" s="2"/>
      <c r="J2043" s="2"/>
      <c r="K2043" s="2"/>
      <c r="L2043" s="2"/>
      <c r="M2043" s="2"/>
    </row>
    <row r="2044" spans="1:13" ht="12.75">
      <c r="A2044" s="2" t="s">
        <v>10</v>
      </c>
      <c r="B2044" s="42"/>
      <c r="C2044" s="11"/>
      <c r="D2044" s="11"/>
      <c r="E2044" s="11">
        <f t="shared" si="42"/>
        <v>387630.51999999996</v>
      </c>
      <c r="F2044" s="37"/>
      <c r="G2044" s="37">
        <f>SUM(G2041:G2043)</f>
        <v>92252.13</v>
      </c>
      <c r="H2044" s="2"/>
      <c r="I2044" s="2">
        <f>SUM(I2041:I2043)</f>
        <v>94011.54</v>
      </c>
      <c r="J2044" s="2"/>
      <c r="K2044" s="2">
        <f>SUM(K2041:K2043)</f>
        <v>97402.61</v>
      </c>
      <c r="L2044" s="2"/>
      <c r="M2044" s="2">
        <f>SUM(M2041:M2043)</f>
        <v>103964.24</v>
      </c>
    </row>
    <row r="2045" spans="1:13" ht="21.75">
      <c r="A2045" s="35" t="s">
        <v>82</v>
      </c>
      <c r="B2045" s="42"/>
      <c r="C2045" s="2"/>
      <c r="D2045" s="2"/>
      <c r="E2045" s="6">
        <f t="shared" si="42"/>
        <v>0</v>
      </c>
      <c r="F2045" s="2"/>
      <c r="G2045" s="2"/>
      <c r="H2045" s="2"/>
      <c r="I2045" s="2"/>
      <c r="J2045" s="2"/>
      <c r="K2045" s="2"/>
      <c r="L2045" s="2"/>
      <c r="M2045" s="2"/>
    </row>
    <row r="2046" spans="1:13" ht="12.75">
      <c r="A2046" s="43" t="s">
        <v>11</v>
      </c>
      <c r="B2046" s="44"/>
      <c r="C2046" s="45"/>
      <c r="D2046" s="45"/>
      <c r="E2046" s="45">
        <f t="shared" si="42"/>
        <v>118205.99355600002</v>
      </c>
      <c r="F2046" s="45"/>
      <c r="G2046" s="45">
        <f>7.99407*C2039</f>
        <v>28931.1788556</v>
      </c>
      <c r="H2046" s="2"/>
      <c r="I2046" s="7">
        <f>9.57707*C2039</f>
        <v>34660.182495600005</v>
      </c>
      <c r="J2046" s="2"/>
      <c r="K2046" s="7">
        <f>7.32829*K2039</f>
        <v>26595.3170877</v>
      </c>
      <c r="L2046" s="2"/>
      <c r="M2046" s="7">
        <f>7.72067*K2039</f>
        <v>28019.315117100003</v>
      </c>
    </row>
    <row r="2047" spans="1:13" ht="12.75">
      <c r="A2047" s="43" t="s">
        <v>12</v>
      </c>
      <c r="B2047" s="46"/>
      <c r="C2047" s="7"/>
      <c r="D2047" s="7"/>
      <c r="E2047" s="7">
        <f t="shared" si="42"/>
        <v>0</v>
      </c>
      <c r="F2047" s="7"/>
      <c r="G2047" s="7"/>
      <c r="H2047" s="2"/>
      <c r="I2047" s="7"/>
      <c r="J2047" s="2"/>
      <c r="K2047" s="7"/>
      <c r="L2047" s="2"/>
      <c r="M2047" s="7"/>
    </row>
    <row r="2048" spans="1:13" ht="12.75">
      <c r="A2048" s="41" t="s">
        <v>13</v>
      </c>
      <c r="B2048" s="46"/>
      <c r="C2048" s="7"/>
      <c r="D2048" s="7"/>
      <c r="E2048" s="7">
        <f t="shared" si="42"/>
        <v>158783.1016078</v>
      </c>
      <c r="F2048" s="7"/>
      <c r="G2048" s="7">
        <f>G2049+G2051+G2052+G2053+G2054+G2055+G2056+G2057+G2058+G2059+G2060</f>
        <v>36091.8026836</v>
      </c>
      <c r="H2048" s="2"/>
      <c r="I2048" s="7">
        <f>I2049+I2051+I2052+I2053+I2054+I2055+I2056+I2057+I2058+I2059+I2060</f>
        <v>45277.7927292</v>
      </c>
      <c r="J2048" s="2"/>
      <c r="K2048" s="7">
        <f>K2049+K2051+K2052+K2053+K2054+K2055+K2056+K2057+K2058+K2059+K2060</f>
        <v>46193.504125</v>
      </c>
      <c r="L2048" s="2"/>
      <c r="M2048" s="7">
        <f>M2049+M2051+M2052+M2053+M2054+M2055+M2056+M2057+M2058+M2059+M2060</f>
        <v>31220.00207</v>
      </c>
    </row>
    <row r="2049" spans="1:13" ht="12.75">
      <c r="A2049" s="47" t="s">
        <v>14</v>
      </c>
      <c r="B2049" s="46"/>
      <c r="C2049" s="71"/>
      <c r="D2049" s="7"/>
      <c r="E2049" s="7">
        <f t="shared" si="42"/>
        <v>130451</v>
      </c>
      <c r="F2049" s="7"/>
      <c r="G2049" s="7">
        <v>33686</v>
      </c>
      <c r="H2049" s="2"/>
      <c r="I2049" s="7">
        <v>32616</v>
      </c>
      <c r="J2049" s="2"/>
      <c r="K2049" s="7">
        <v>34233</v>
      </c>
      <c r="L2049" s="2"/>
      <c r="M2049" s="7">
        <v>29916</v>
      </c>
    </row>
    <row r="2050" spans="1:13" ht="12.75">
      <c r="A2050" s="41" t="s">
        <v>19</v>
      </c>
      <c r="B2050" s="46"/>
      <c r="C2050" s="71"/>
      <c r="D2050" s="7"/>
      <c r="E2050" s="7">
        <f t="shared" si="42"/>
        <v>86434</v>
      </c>
      <c r="F2050" s="7"/>
      <c r="G2050" s="7">
        <v>21619</v>
      </c>
      <c r="H2050" s="2"/>
      <c r="I2050" s="7">
        <v>21619</v>
      </c>
      <c r="J2050" s="2"/>
      <c r="K2050" s="7">
        <v>21598</v>
      </c>
      <c r="L2050" s="2"/>
      <c r="M2050" s="7">
        <v>21598</v>
      </c>
    </row>
    <row r="2051" spans="1:13" ht="12.75">
      <c r="A2051" s="41" t="s">
        <v>18</v>
      </c>
      <c r="B2051" s="46"/>
      <c r="C2051" s="7"/>
      <c r="D2051" s="7"/>
      <c r="E2051" s="7">
        <f t="shared" si="42"/>
        <v>5022.1900000000005</v>
      </c>
      <c r="F2051" s="7"/>
      <c r="G2051" s="7">
        <v>211.55</v>
      </c>
      <c r="H2051" s="2"/>
      <c r="I2051" s="7">
        <v>298</v>
      </c>
      <c r="J2051" s="2"/>
      <c r="K2051" s="7">
        <v>4076</v>
      </c>
      <c r="L2051" s="2"/>
      <c r="M2051" s="7">
        <v>436.64</v>
      </c>
    </row>
    <row r="2052" spans="1:13" ht="12.75">
      <c r="A2052" s="41" t="s">
        <v>53</v>
      </c>
      <c r="B2052" s="46"/>
      <c r="C2052" s="7"/>
      <c r="D2052" s="7"/>
      <c r="E2052" s="7">
        <f t="shared" si="42"/>
        <v>5175.706534800001</v>
      </c>
      <c r="F2052" s="7"/>
      <c r="G2052" s="7">
        <f>0.54857*C2039</f>
        <v>1985.3187156</v>
      </c>
      <c r="H2052" s="2"/>
      <c r="I2052" s="7">
        <f>0.53049*C2039</f>
        <v>1919.8857492</v>
      </c>
      <c r="J2052" s="2"/>
      <c r="K2052" s="7">
        <v>403.14</v>
      </c>
      <c r="L2052" s="2"/>
      <c r="M2052" s="7">
        <f>0.239*K2039</f>
        <v>867.36207</v>
      </c>
    </row>
    <row r="2053" spans="1:13" ht="12.75">
      <c r="A2053" s="41" t="s">
        <v>148</v>
      </c>
      <c r="B2053" s="46"/>
      <c r="C2053" s="7"/>
      <c r="D2053" s="7"/>
      <c r="E2053" s="7">
        <f t="shared" si="42"/>
        <v>138</v>
      </c>
      <c r="F2053" s="7"/>
      <c r="G2053" s="7">
        <v>138</v>
      </c>
      <c r="H2053" s="2"/>
      <c r="I2053" s="7"/>
      <c r="J2053" s="2"/>
      <c r="K2053" s="7"/>
      <c r="L2053" s="2"/>
      <c r="M2053" s="7"/>
    </row>
    <row r="2054" spans="1:13" ht="12.75">
      <c r="A2054" s="41" t="s">
        <v>27</v>
      </c>
      <c r="B2054" s="46"/>
      <c r="C2054" s="7"/>
      <c r="D2054" s="7"/>
      <c r="E2054" s="7">
        <f t="shared" si="42"/>
        <v>1591</v>
      </c>
      <c r="F2054" s="7"/>
      <c r="G2054" s="7"/>
      <c r="H2054" s="2"/>
      <c r="I2054" s="7">
        <v>1591</v>
      </c>
      <c r="J2054" s="2"/>
      <c r="K2054" s="7"/>
      <c r="L2054" s="2"/>
      <c r="M2054" s="7"/>
    </row>
    <row r="2055" spans="1:13" ht="12.75">
      <c r="A2055" s="41" t="s">
        <v>36</v>
      </c>
      <c r="B2055" s="46"/>
      <c r="C2055" s="7"/>
      <c r="D2055" s="7"/>
      <c r="E2055" s="7">
        <f t="shared" si="42"/>
        <v>6107</v>
      </c>
      <c r="F2055" s="7"/>
      <c r="G2055" s="7"/>
      <c r="H2055" s="2" t="s">
        <v>247</v>
      </c>
      <c r="I2055" s="7">
        <v>1465</v>
      </c>
      <c r="J2055" s="2" t="s">
        <v>327</v>
      </c>
      <c r="K2055" s="7">
        <v>4642</v>
      </c>
      <c r="L2055" s="2"/>
      <c r="M2055" s="7"/>
    </row>
    <row r="2056" spans="1:13" ht="12.75">
      <c r="A2056" s="41" t="s">
        <v>248</v>
      </c>
      <c r="B2056" s="46"/>
      <c r="C2056" s="7"/>
      <c r="D2056" s="7"/>
      <c r="E2056" s="7">
        <f t="shared" si="42"/>
        <v>2807</v>
      </c>
      <c r="F2056" s="7"/>
      <c r="G2056" s="7"/>
      <c r="H2056" s="2"/>
      <c r="I2056" s="7">
        <v>13</v>
      </c>
      <c r="J2056" s="2"/>
      <c r="K2056" s="7">
        <v>2794</v>
      </c>
      <c r="L2056" s="2"/>
      <c r="M2056" s="7"/>
    </row>
    <row r="2057" spans="1:13" ht="12.75">
      <c r="A2057" s="41" t="s">
        <v>43</v>
      </c>
      <c r="B2057" s="46"/>
      <c r="C2057" s="7"/>
      <c r="D2057" s="7"/>
      <c r="E2057" s="7">
        <f t="shared" si="42"/>
        <v>1397</v>
      </c>
      <c r="F2057" s="7"/>
      <c r="G2057" s="7"/>
      <c r="H2057" s="2"/>
      <c r="I2057" s="7">
        <v>1397</v>
      </c>
      <c r="J2057" s="2"/>
      <c r="K2057" s="7"/>
      <c r="L2057" s="2"/>
      <c r="M2057" s="7"/>
    </row>
    <row r="2058" spans="1:13" ht="12.75">
      <c r="A2058" s="41" t="s">
        <v>30</v>
      </c>
      <c r="B2058" s="46"/>
      <c r="C2058" s="7"/>
      <c r="D2058" s="7"/>
      <c r="E2058" s="7">
        <f t="shared" si="42"/>
        <v>5730</v>
      </c>
      <c r="F2058" s="7"/>
      <c r="G2058" s="7"/>
      <c r="H2058" s="2"/>
      <c r="I2058" s="7">
        <v>5730</v>
      </c>
      <c r="J2058" s="2"/>
      <c r="K2058" s="7"/>
      <c r="L2058" s="2"/>
      <c r="M2058" s="7"/>
    </row>
    <row r="2059" spans="1:13" ht="12.75">
      <c r="A2059" s="41" t="s">
        <v>54</v>
      </c>
      <c r="B2059" s="46"/>
      <c r="C2059" s="7"/>
      <c r="D2059" s="7"/>
      <c r="E2059" s="7">
        <f t="shared" si="42"/>
        <v>70.933968</v>
      </c>
      <c r="F2059" s="7"/>
      <c r="G2059" s="7">
        <f>0.0196*C2039</f>
        <v>70.933968</v>
      </c>
      <c r="H2059" s="2"/>
      <c r="I2059" s="7"/>
      <c r="J2059" s="2"/>
      <c r="K2059" s="7"/>
      <c r="L2059" s="2"/>
      <c r="M2059" s="7"/>
    </row>
    <row r="2060" spans="1:13" ht="13.5" thickBot="1">
      <c r="A2060" s="48" t="s">
        <v>55</v>
      </c>
      <c r="B2060" s="49"/>
      <c r="C2060" s="50"/>
      <c r="D2060" s="50"/>
      <c r="E2060" s="50">
        <f t="shared" si="42"/>
        <v>293.27110500000003</v>
      </c>
      <c r="F2060" s="50"/>
      <c r="G2060" s="50"/>
      <c r="H2060" s="22"/>
      <c r="I2060" s="50">
        <f>0.0685*C2039</f>
        <v>247.90698</v>
      </c>
      <c r="J2060" s="22"/>
      <c r="K2060" s="50">
        <f>0.0125*K2039</f>
        <v>45.364125</v>
      </c>
      <c r="L2060" s="22"/>
      <c r="M2060" s="50"/>
    </row>
    <row r="2061" spans="1:13" ht="13.5" thickBot="1">
      <c r="A2061" s="51" t="s">
        <v>76</v>
      </c>
      <c r="B2061" s="81"/>
      <c r="C2061" s="63"/>
      <c r="D2061" s="63"/>
      <c r="E2061" s="63">
        <f t="shared" si="42"/>
        <v>276989.0951638</v>
      </c>
      <c r="F2061" s="63"/>
      <c r="G2061" s="63">
        <f>G2046+G2048</f>
        <v>65022.9815392</v>
      </c>
      <c r="H2061" s="26"/>
      <c r="I2061" s="63">
        <f>I2046+I2048</f>
        <v>79937.9752248</v>
      </c>
      <c r="J2061" s="26"/>
      <c r="K2061" s="63">
        <f>K2046+K2048</f>
        <v>72788.8212127</v>
      </c>
      <c r="L2061" s="26"/>
      <c r="M2061" s="29">
        <f>M2046+M2048</f>
        <v>59239.3171871</v>
      </c>
    </row>
    <row r="2062" spans="1:13" ht="21.75">
      <c r="A2062" s="54" t="s">
        <v>15</v>
      </c>
      <c r="B2062" s="55"/>
      <c r="C2062" s="66"/>
      <c r="D2062" s="66"/>
      <c r="E2062" s="56">
        <f t="shared" si="42"/>
        <v>0</v>
      </c>
      <c r="F2062" s="66"/>
      <c r="G2062" s="56"/>
      <c r="H2062" s="74"/>
      <c r="I2062" s="56"/>
      <c r="J2062" s="74"/>
      <c r="K2062" s="56"/>
      <c r="L2062" s="74"/>
      <c r="M2062" s="56"/>
    </row>
    <row r="2063" spans="1:13" ht="12.75">
      <c r="A2063" s="41" t="s">
        <v>17</v>
      </c>
      <c r="B2063" s="46"/>
      <c r="C2063" s="7"/>
      <c r="D2063" s="7"/>
      <c r="E2063" s="7">
        <f t="shared" si="42"/>
        <v>102462.7445223</v>
      </c>
      <c r="F2063" s="7"/>
      <c r="G2063" s="7">
        <f>6.73321*C2039</f>
        <v>24368.025646799997</v>
      </c>
      <c r="H2063" s="2"/>
      <c r="I2063" s="7">
        <f>7.02207*C2039</f>
        <v>25413.4330956</v>
      </c>
      <c r="J2063" s="2"/>
      <c r="K2063" s="7">
        <f>7.2754*K2039</f>
        <v>26403.372402</v>
      </c>
      <c r="L2063" s="2"/>
      <c r="M2063" s="7">
        <f>7.24083*K2039</f>
        <v>26277.9133779</v>
      </c>
    </row>
    <row r="2064" spans="1:13" ht="12.75">
      <c r="A2064" s="41" t="s">
        <v>34</v>
      </c>
      <c r="B2064" s="46"/>
      <c r="C2064" s="71"/>
      <c r="D2064" s="7"/>
      <c r="E2064" s="7">
        <f t="shared" si="42"/>
        <v>0</v>
      </c>
      <c r="F2064" s="7"/>
      <c r="G2064" s="7"/>
      <c r="H2064" s="2"/>
      <c r="I2064" s="7"/>
      <c r="J2064" s="2"/>
      <c r="K2064" s="7"/>
      <c r="L2064" s="2"/>
      <c r="M2064" s="7"/>
    </row>
    <row r="2065" spans="1:13" ht="12.75">
      <c r="A2065" s="41" t="s">
        <v>67</v>
      </c>
      <c r="B2065" s="46"/>
      <c r="C2065" s="7"/>
      <c r="D2065" s="7"/>
      <c r="E2065" s="7">
        <f t="shared" si="42"/>
        <v>7446</v>
      </c>
      <c r="F2065" s="7"/>
      <c r="G2065" s="7">
        <v>5687</v>
      </c>
      <c r="H2065" s="2"/>
      <c r="I2065" s="7"/>
      <c r="J2065" s="2"/>
      <c r="K2065" s="7">
        <v>570</v>
      </c>
      <c r="L2065" s="2"/>
      <c r="M2065" s="7">
        <v>1189</v>
      </c>
    </row>
    <row r="2066" spans="1:13" ht="12.75">
      <c r="A2066" s="41" t="s">
        <v>68</v>
      </c>
      <c r="B2066" s="46"/>
      <c r="C2066" s="7"/>
      <c r="D2066" s="7"/>
      <c r="E2066" s="7">
        <f t="shared" si="42"/>
        <v>1926</v>
      </c>
      <c r="F2066" s="7" t="s">
        <v>162</v>
      </c>
      <c r="G2066" s="7">
        <v>1512</v>
      </c>
      <c r="H2066" s="2"/>
      <c r="I2066" s="7">
        <v>414</v>
      </c>
      <c r="J2066" s="2"/>
      <c r="K2066" s="7"/>
      <c r="L2066" s="2"/>
      <c r="M2066" s="7"/>
    </row>
    <row r="2067" spans="1:13" ht="12.75">
      <c r="A2067" s="41" t="s">
        <v>69</v>
      </c>
      <c r="B2067" s="46"/>
      <c r="C2067" s="7"/>
      <c r="D2067" s="7"/>
      <c r="E2067" s="7">
        <f t="shared" si="42"/>
        <v>485</v>
      </c>
      <c r="F2067" s="7"/>
      <c r="G2067" s="7"/>
      <c r="H2067" s="2"/>
      <c r="I2067" s="7">
        <v>485</v>
      </c>
      <c r="J2067" s="2"/>
      <c r="K2067" s="7"/>
      <c r="L2067" s="2"/>
      <c r="M2067" s="7"/>
    </row>
    <row r="2068" spans="1:13" ht="12.75">
      <c r="A2068" s="41" t="s">
        <v>26</v>
      </c>
      <c r="B2068" s="46"/>
      <c r="C2068" s="7"/>
      <c r="D2068" s="7"/>
      <c r="E2068" s="7">
        <f t="shared" si="42"/>
        <v>510</v>
      </c>
      <c r="F2068" s="7"/>
      <c r="G2068" s="7">
        <v>510</v>
      </c>
      <c r="H2068" s="2"/>
      <c r="I2068" s="7"/>
      <c r="J2068" s="2"/>
      <c r="K2068" s="7"/>
      <c r="L2068" s="2"/>
      <c r="M2068" s="7"/>
    </row>
    <row r="2069" spans="1:13" ht="12.75">
      <c r="A2069" s="41" t="s">
        <v>28</v>
      </c>
      <c r="B2069" s="46"/>
      <c r="C2069" s="7"/>
      <c r="D2069" s="7"/>
      <c r="E2069" s="7">
        <f t="shared" si="42"/>
        <v>815</v>
      </c>
      <c r="F2069" s="7"/>
      <c r="G2069" s="7">
        <v>815</v>
      </c>
      <c r="H2069" s="2"/>
      <c r="I2069" s="7"/>
      <c r="J2069" s="2"/>
      <c r="K2069" s="7"/>
      <c r="L2069" s="2"/>
      <c r="M2069" s="7"/>
    </row>
    <row r="2070" spans="1:13" ht="12.75">
      <c r="A2070" s="41" t="s">
        <v>251</v>
      </c>
      <c r="B2070" s="46"/>
      <c r="C2070" s="7"/>
      <c r="D2070" s="7"/>
      <c r="E2070" s="7">
        <f t="shared" si="42"/>
        <v>1623</v>
      </c>
      <c r="F2070" s="7"/>
      <c r="G2070" s="7"/>
      <c r="H2070" s="2"/>
      <c r="I2070" s="7">
        <v>1623</v>
      </c>
      <c r="J2070" s="2"/>
      <c r="K2070" s="7"/>
      <c r="L2070" s="2"/>
      <c r="M2070" s="7"/>
    </row>
    <row r="2071" spans="1:13" ht="12.75">
      <c r="A2071" s="41" t="s">
        <v>291</v>
      </c>
      <c r="B2071" s="46"/>
      <c r="C2071" s="7"/>
      <c r="D2071" s="7"/>
      <c r="E2071" s="7"/>
      <c r="F2071" s="7"/>
      <c r="G2071" s="7"/>
      <c r="H2071" s="2"/>
      <c r="I2071" s="7"/>
      <c r="J2071" s="2"/>
      <c r="K2071" s="7">
        <v>750</v>
      </c>
      <c r="L2071" s="2"/>
      <c r="M2071" s="7"/>
    </row>
    <row r="2072" spans="1:13" ht="12.75">
      <c r="A2072" s="41" t="s">
        <v>150</v>
      </c>
      <c r="B2072" s="46"/>
      <c r="C2072" s="7"/>
      <c r="D2072" s="7"/>
      <c r="E2072" s="7">
        <f t="shared" si="42"/>
        <v>47.5</v>
      </c>
      <c r="F2072" s="7"/>
      <c r="G2072" s="7"/>
      <c r="H2072" s="2"/>
      <c r="I2072" s="7">
        <v>47.5</v>
      </c>
      <c r="J2072" s="2"/>
      <c r="K2072" s="7"/>
      <c r="L2072" s="2"/>
      <c r="M2072" s="7"/>
    </row>
    <row r="2073" spans="1:13" ht="12.75">
      <c r="A2073" s="41" t="s">
        <v>62</v>
      </c>
      <c r="B2073" s="46"/>
      <c r="C2073" s="7"/>
      <c r="D2073" s="7"/>
      <c r="E2073" s="7">
        <f t="shared" si="42"/>
        <v>0</v>
      </c>
      <c r="F2073" s="7"/>
      <c r="G2073" s="7"/>
      <c r="H2073" s="2"/>
      <c r="I2073" s="7"/>
      <c r="J2073" s="2"/>
      <c r="K2073" s="7"/>
      <c r="L2073" s="2"/>
      <c r="M2073" s="7"/>
    </row>
    <row r="2074" spans="1:13" ht="12.75">
      <c r="A2074" s="41" t="s">
        <v>250</v>
      </c>
      <c r="B2074" s="46"/>
      <c r="C2074" s="7"/>
      <c r="D2074" s="7"/>
      <c r="E2074" s="7">
        <f t="shared" si="42"/>
        <v>2743</v>
      </c>
      <c r="F2074" s="7"/>
      <c r="G2074" s="7"/>
      <c r="H2074" s="2"/>
      <c r="I2074" s="7">
        <v>940</v>
      </c>
      <c r="J2074" s="2"/>
      <c r="K2074" s="7">
        <v>1803</v>
      </c>
      <c r="L2074" s="2"/>
      <c r="M2074" s="7"/>
    </row>
    <row r="2075" spans="1:13" ht="12.75">
      <c r="A2075" s="43" t="s">
        <v>249</v>
      </c>
      <c r="B2075" s="46"/>
      <c r="C2075" s="7"/>
      <c r="D2075" s="7"/>
      <c r="E2075" s="7">
        <f t="shared" si="42"/>
        <v>4950</v>
      </c>
      <c r="F2075" s="7"/>
      <c r="G2075" s="7"/>
      <c r="H2075" s="2"/>
      <c r="I2075" s="114">
        <v>4950</v>
      </c>
      <c r="J2075" s="2"/>
      <c r="K2075" s="7"/>
      <c r="L2075" s="2"/>
      <c r="M2075" s="7"/>
    </row>
    <row r="2076" spans="1:13" ht="12.75">
      <c r="A2076" s="41" t="s">
        <v>51</v>
      </c>
      <c r="B2076" s="46"/>
      <c r="C2076" s="7"/>
      <c r="D2076" s="7"/>
      <c r="E2076" s="7">
        <f t="shared" si="42"/>
        <v>2548.53</v>
      </c>
      <c r="F2076" s="7"/>
      <c r="G2076" s="7"/>
      <c r="H2076" s="2"/>
      <c r="I2076" s="7">
        <v>2548.53</v>
      </c>
      <c r="J2076" s="2"/>
      <c r="K2076" s="7"/>
      <c r="L2076" s="2"/>
      <c r="M2076" s="7"/>
    </row>
    <row r="2077" spans="1:13" ht="12.75">
      <c r="A2077" s="58" t="s">
        <v>52</v>
      </c>
      <c r="B2077" s="46"/>
      <c r="C2077" s="7"/>
      <c r="D2077" s="7"/>
      <c r="E2077" s="7">
        <f t="shared" si="42"/>
        <v>0</v>
      </c>
      <c r="F2077" s="7"/>
      <c r="G2077" s="7"/>
      <c r="H2077" s="2"/>
      <c r="I2077" s="7"/>
      <c r="J2077" s="2"/>
      <c r="K2077" s="7"/>
      <c r="L2077" s="2"/>
      <c r="M2077" s="7"/>
    </row>
    <row r="2078" spans="1:13" ht="12.75">
      <c r="A2078" s="41" t="s">
        <v>345</v>
      </c>
      <c r="B2078" s="46"/>
      <c r="C2078" s="7"/>
      <c r="D2078" s="7"/>
      <c r="E2078" s="7">
        <f t="shared" si="42"/>
        <v>11700</v>
      </c>
      <c r="F2078" s="7"/>
      <c r="G2078" s="7"/>
      <c r="H2078" s="2"/>
      <c r="I2078" s="7"/>
      <c r="J2078" s="2"/>
      <c r="K2078" s="7">
        <v>11700</v>
      </c>
      <c r="L2078" s="2"/>
      <c r="M2078" s="7"/>
    </row>
    <row r="2079" spans="1:13" ht="12.75">
      <c r="A2079" s="41" t="s">
        <v>346</v>
      </c>
      <c r="B2079" s="46"/>
      <c r="C2079" s="7"/>
      <c r="D2079" s="7"/>
      <c r="E2079" s="7"/>
      <c r="F2079" s="7"/>
      <c r="G2079" s="7"/>
      <c r="H2079" s="2"/>
      <c r="I2079" s="7"/>
      <c r="J2079" s="2"/>
      <c r="K2079" s="7">
        <v>13210</v>
      </c>
      <c r="L2079" s="2"/>
      <c r="M2079" s="7"/>
    </row>
    <row r="2080" spans="1:13" ht="12.75">
      <c r="A2080" s="41" t="s">
        <v>344</v>
      </c>
      <c r="B2080" s="46"/>
      <c r="C2080" s="7"/>
      <c r="D2080" s="7"/>
      <c r="E2080" s="7">
        <f t="shared" si="42"/>
        <v>11281</v>
      </c>
      <c r="F2080" s="7"/>
      <c r="G2080" s="7"/>
      <c r="H2080" s="2"/>
      <c r="I2080" s="7"/>
      <c r="J2080" s="2"/>
      <c r="K2080" s="7">
        <v>11281</v>
      </c>
      <c r="L2080" s="2"/>
      <c r="M2080" s="7"/>
    </row>
    <row r="2081" spans="1:13" ht="12.75">
      <c r="A2081" s="41" t="s">
        <v>57</v>
      </c>
      <c r="B2081" s="46"/>
      <c r="C2081" s="7"/>
      <c r="D2081" s="7"/>
      <c r="E2081" s="7">
        <f t="shared" si="42"/>
        <v>25.695468</v>
      </c>
      <c r="F2081" s="7"/>
      <c r="G2081" s="7"/>
      <c r="H2081" s="2"/>
      <c r="I2081" s="7">
        <f>0.0071*C2039</f>
        <v>25.695468</v>
      </c>
      <c r="J2081" s="2"/>
      <c r="K2081" s="7"/>
      <c r="L2081" s="2"/>
      <c r="M2081" s="7"/>
    </row>
    <row r="2082" spans="1:13" ht="12.75">
      <c r="A2082" s="41" t="s">
        <v>33</v>
      </c>
      <c r="B2082" s="46"/>
      <c r="C2082" s="7"/>
      <c r="D2082" s="7"/>
      <c r="E2082" s="7">
        <f t="shared" si="42"/>
        <v>3162</v>
      </c>
      <c r="F2082" s="15"/>
      <c r="G2082" s="7"/>
      <c r="H2082" s="2"/>
      <c r="I2082" s="7"/>
      <c r="J2082" s="2"/>
      <c r="K2082" s="7"/>
      <c r="L2082" s="2"/>
      <c r="M2082" s="7">
        <v>3162</v>
      </c>
    </row>
    <row r="2083" spans="1:13" ht="12.75">
      <c r="A2083" s="41" t="s">
        <v>50</v>
      </c>
      <c r="B2083" s="46"/>
      <c r="C2083" s="7"/>
      <c r="D2083" s="7"/>
      <c r="E2083" s="7">
        <f t="shared" si="42"/>
        <v>3970.6798470000003</v>
      </c>
      <c r="F2083" s="7"/>
      <c r="G2083" s="7">
        <f>0.2455*C2039</f>
        <v>888.4841399999999</v>
      </c>
      <c r="H2083" s="2"/>
      <c r="I2083" s="7">
        <f>0.5802*C2039</f>
        <v>2099.7902160000003</v>
      </c>
      <c r="J2083" s="2"/>
      <c r="K2083" s="7">
        <f>0.1437*K2039</f>
        <v>521.505981</v>
      </c>
      <c r="L2083" s="2"/>
      <c r="M2083" s="7">
        <f>0.127*K2039</f>
        <v>460.89951</v>
      </c>
    </row>
    <row r="2084" spans="1:13" ht="13.5" thickBot="1">
      <c r="A2084" s="48" t="s">
        <v>54</v>
      </c>
      <c r="B2084" s="49"/>
      <c r="C2084" s="50"/>
      <c r="D2084" s="50"/>
      <c r="E2084" s="50">
        <f t="shared" si="42"/>
        <v>111.698814</v>
      </c>
      <c r="F2084" s="50"/>
      <c r="G2084" s="50"/>
      <c r="H2084" s="22"/>
      <c r="I2084" s="50">
        <f>0.0078*C2039</f>
        <v>28.228824</v>
      </c>
      <c r="J2084" s="22"/>
      <c r="K2084" s="50">
        <f>0.011*K2039</f>
        <v>39.920429999999996</v>
      </c>
      <c r="L2084" s="22"/>
      <c r="M2084" s="50">
        <f>0.012*K2039</f>
        <v>43.54956</v>
      </c>
    </row>
    <row r="2085" spans="1:13" ht="13.5" thickBot="1">
      <c r="A2085" s="59" t="s">
        <v>10</v>
      </c>
      <c r="B2085" s="81"/>
      <c r="C2085" s="63"/>
      <c r="D2085" s="63"/>
      <c r="E2085" s="63">
        <f t="shared" si="42"/>
        <v>169767.8486513</v>
      </c>
      <c r="F2085" s="63"/>
      <c r="G2085" s="63">
        <f>SUM(G2063:G2084)</f>
        <v>33780.5097868</v>
      </c>
      <c r="H2085" s="26"/>
      <c r="I2085" s="63">
        <f>SUM(I2063:I2084)</f>
        <v>38575.1776036</v>
      </c>
      <c r="J2085" s="26"/>
      <c r="K2085" s="63">
        <f>SUM(K2063:K2084)</f>
        <v>66278.798813</v>
      </c>
      <c r="L2085" s="26"/>
      <c r="M2085" s="29">
        <f>SUM(M2063:M2084)</f>
        <v>31133.3624479</v>
      </c>
    </row>
    <row r="2086" spans="1:13" ht="12.75">
      <c r="A2086" s="60" t="s">
        <v>42</v>
      </c>
      <c r="B2086" s="55"/>
      <c r="C2086" s="66"/>
      <c r="D2086" s="66"/>
      <c r="E2086" s="56">
        <f t="shared" si="42"/>
        <v>0</v>
      </c>
      <c r="F2086" s="66"/>
      <c r="G2086" s="56"/>
      <c r="H2086" s="74"/>
      <c r="I2086" s="56"/>
      <c r="J2086" s="74"/>
      <c r="K2086" s="56"/>
      <c r="L2086" s="74"/>
      <c r="M2086" s="56"/>
    </row>
    <row r="2087" spans="1:13" ht="12.75">
      <c r="A2087" s="41" t="s">
        <v>56</v>
      </c>
      <c r="B2087" s="46"/>
      <c r="C2087" s="7"/>
      <c r="D2087" s="7"/>
      <c r="E2087" s="7">
        <f t="shared" si="42"/>
        <v>0</v>
      </c>
      <c r="F2087" s="7"/>
      <c r="G2087" s="7"/>
      <c r="H2087" s="2"/>
      <c r="I2087" s="7"/>
      <c r="J2087" s="2"/>
      <c r="K2087" s="7"/>
      <c r="L2087" s="2"/>
      <c r="M2087" s="7"/>
    </row>
    <row r="2088" spans="1:13" ht="12.75">
      <c r="A2088" s="41" t="s">
        <v>161</v>
      </c>
      <c r="B2088" s="46"/>
      <c r="C2088" s="7"/>
      <c r="D2088" s="7"/>
      <c r="E2088" s="7">
        <f t="shared" si="42"/>
        <v>1187</v>
      </c>
      <c r="F2088" s="7"/>
      <c r="G2088" s="7">
        <v>215</v>
      </c>
      <c r="H2088" s="2"/>
      <c r="I2088" s="7">
        <v>605</v>
      </c>
      <c r="J2088" s="2"/>
      <c r="K2088" s="7">
        <v>367</v>
      </c>
      <c r="L2088" s="2"/>
      <c r="M2088" s="7"/>
    </row>
    <row r="2089" spans="1:13" ht="12.75">
      <c r="A2089" s="41" t="s">
        <v>156</v>
      </c>
      <c r="B2089" s="49"/>
      <c r="C2089" s="50"/>
      <c r="D2089" s="50"/>
      <c r="E2089" s="7">
        <f t="shared" si="42"/>
        <v>240</v>
      </c>
      <c r="F2089" s="50"/>
      <c r="G2089" s="50"/>
      <c r="H2089" s="22"/>
      <c r="I2089" s="50">
        <v>240</v>
      </c>
      <c r="J2089" s="22"/>
      <c r="K2089" s="50"/>
      <c r="L2089" s="22"/>
      <c r="M2089" s="50"/>
    </row>
    <row r="2090" spans="1:13" ht="12.75">
      <c r="A2090" s="48" t="s">
        <v>252</v>
      </c>
      <c r="B2090" s="49"/>
      <c r="C2090" s="50"/>
      <c r="D2090" s="50"/>
      <c r="E2090" s="7">
        <f t="shared" si="42"/>
        <v>6240</v>
      </c>
      <c r="F2090" s="50"/>
      <c r="G2090" s="50"/>
      <c r="H2090" s="22"/>
      <c r="I2090" s="50">
        <v>6240</v>
      </c>
      <c r="J2090" s="22"/>
      <c r="K2090" s="50"/>
      <c r="L2090" s="22"/>
      <c r="M2090" s="50"/>
    </row>
    <row r="2091" spans="1:13" ht="12.75">
      <c r="A2091" s="41" t="s">
        <v>421</v>
      </c>
      <c r="B2091" s="49"/>
      <c r="C2091" s="50"/>
      <c r="D2091" s="50"/>
      <c r="E2091" s="7">
        <f t="shared" si="42"/>
        <v>251.2</v>
      </c>
      <c r="F2091" s="50"/>
      <c r="G2091" s="50"/>
      <c r="H2091" s="22"/>
      <c r="I2091" s="50"/>
      <c r="J2091" s="22"/>
      <c r="K2091" s="50"/>
      <c r="L2091" s="22"/>
      <c r="M2091" s="50">
        <v>251.2</v>
      </c>
    </row>
    <row r="2092" spans="1:13" ht="12.75">
      <c r="A2092" s="48" t="s">
        <v>339</v>
      </c>
      <c r="B2092" s="49"/>
      <c r="C2092" s="50"/>
      <c r="D2092" s="50"/>
      <c r="E2092" s="7">
        <f t="shared" si="42"/>
        <v>600</v>
      </c>
      <c r="F2092" s="50"/>
      <c r="G2092" s="50"/>
      <c r="H2092" s="22"/>
      <c r="I2092" s="50"/>
      <c r="J2092" s="22"/>
      <c r="K2092" s="50">
        <v>600</v>
      </c>
      <c r="L2092" s="22"/>
      <c r="M2092" s="50"/>
    </row>
    <row r="2093" spans="1:13" ht="12.75">
      <c r="A2093" s="74" t="s">
        <v>428</v>
      </c>
      <c r="B2093" s="49"/>
      <c r="C2093" s="50"/>
      <c r="D2093" s="50"/>
      <c r="E2093" s="7">
        <f t="shared" si="42"/>
        <v>267.2</v>
      </c>
      <c r="F2093" s="50"/>
      <c r="G2093" s="50"/>
      <c r="H2093" s="22"/>
      <c r="I2093" s="50"/>
      <c r="J2093" s="22"/>
      <c r="K2093" s="50"/>
      <c r="L2093" s="22"/>
      <c r="M2093" s="50">
        <v>267.2</v>
      </c>
    </row>
    <row r="2094" spans="1:13" ht="12.75">
      <c r="A2094" s="48" t="s">
        <v>323</v>
      </c>
      <c r="B2094" s="49"/>
      <c r="C2094" s="50"/>
      <c r="D2094" s="50"/>
      <c r="E2094" s="7">
        <f t="shared" si="42"/>
        <v>205.83</v>
      </c>
      <c r="F2094" s="50"/>
      <c r="G2094" s="50"/>
      <c r="H2094" s="22"/>
      <c r="I2094" s="50"/>
      <c r="J2094" s="22"/>
      <c r="K2094" s="50">
        <v>205.83</v>
      </c>
      <c r="L2094" s="22"/>
      <c r="M2094" s="50"/>
    </row>
    <row r="2095" spans="1:13" ht="13.5" thickBot="1">
      <c r="A2095" s="48" t="s">
        <v>16</v>
      </c>
      <c r="B2095" s="49"/>
      <c r="C2095" s="50"/>
      <c r="D2095" s="50"/>
      <c r="E2095" s="7">
        <f t="shared" si="42"/>
        <v>129.47049600000003</v>
      </c>
      <c r="F2095" s="50"/>
      <c r="G2095" s="50">
        <f>0.0089*C2039</f>
        <v>32.209812</v>
      </c>
      <c r="H2095" s="22"/>
      <c r="I2095" s="50"/>
      <c r="J2095" s="22"/>
      <c r="K2095" s="50"/>
      <c r="L2095" s="22"/>
      <c r="M2095" s="50">
        <f>0.0268*K2039</f>
        <v>97.26068400000001</v>
      </c>
    </row>
    <row r="2096" spans="1:13" ht="13.5" thickBot="1">
      <c r="A2096" s="62" t="s">
        <v>10</v>
      </c>
      <c r="B2096" s="81"/>
      <c r="C2096" s="63"/>
      <c r="D2096" s="63"/>
      <c r="E2096" s="63">
        <f t="shared" si="42"/>
        <v>9120.700496</v>
      </c>
      <c r="F2096" s="63"/>
      <c r="G2096" s="63">
        <f>SUM(G2088:G2095)</f>
        <v>247.209812</v>
      </c>
      <c r="H2096" s="26"/>
      <c r="I2096" s="63">
        <f>SUM(I2088:I2095)</f>
        <v>7085</v>
      </c>
      <c r="J2096" s="26"/>
      <c r="K2096" s="63">
        <f>SUM(K2087:K2095)</f>
        <v>1172.83</v>
      </c>
      <c r="L2096" s="26"/>
      <c r="M2096" s="29">
        <f>SUM(M2087:M2095)</f>
        <v>615.660684</v>
      </c>
    </row>
    <row r="2097" spans="1:13" ht="13.5" thickBot="1">
      <c r="A2097" s="64" t="s">
        <v>29</v>
      </c>
      <c r="B2097" s="81"/>
      <c r="C2097" s="63"/>
      <c r="D2097" s="63"/>
      <c r="E2097" s="63">
        <f t="shared" si="42"/>
        <v>8310.248316000001</v>
      </c>
      <c r="F2097" s="63"/>
      <c r="G2097" s="63">
        <f>0.4236*C2039</f>
        <v>1533.0422879999999</v>
      </c>
      <c r="H2097" s="26"/>
      <c r="I2097" s="63">
        <f>0.5971*C2039</f>
        <v>2160.952668</v>
      </c>
      <c r="J2097" s="26"/>
      <c r="K2097" s="63"/>
      <c r="L2097" s="26"/>
      <c r="M2097" s="29">
        <f>1.272*K2039</f>
        <v>4616.253360000001</v>
      </c>
    </row>
    <row r="2098" spans="1:13" ht="21.75">
      <c r="A2098" s="65" t="s">
        <v>83</v>
      </c>
      <c r="B2098" s="61"/>
      <c r="C2098" s="56"/>
      <c r="D2098" s="56"/>
      <c r="E2098" s="56">
        <f t="shared" si="42"/>
        <v>464187.8926271</v>
      </c>
      <c r="F2098" s="56"/>
      <c r="G2098" s="56">
        <f>G2061+G2085+G2096+G2097</f>
        <v>100583.743426</v>
      </c>
      <c r="H2098" s="74"/>
      <c r="I2098" s="56">
        <f>I2061+I2085+I2096+I2097</f>
        <v>127759.10549639999</v>
      </c>
      <c r="J2098" s="74"/>
      <c r="K2098" s="56">
        <f>K2061+K2085+K2096+K2097</f>
        <v>140240.4500257</v>
      </c>
      <c r="L2098" s="74"/>
      <c r="M2098" s="56">
        <f>M2061+M2085+M2096+M2097</f>
        <v>95604.59367900001</v>
      </c>
    </row>
    <row r="2099" spans="1:13" ht="33.75">
      <c r="A2099" s="67" t="s">
        <v>84</v>
      </c>
      <c r="B2099" s="46"/>
      <c r="C2099" s="7"/>
      <c r="D2099" s="7"/>
      <c r="E2099" s="8">
        <f>E2098/12/C2039</f>
        <v>10.688441367859143</v>
      </c>
      <c r="F2099" s="8"/>
      <c r="G2099" s="8">
        <f>G2098/3/C2039</f>
        <v>9.26420926736445</v>
      </c>
      <c r="H2099" s="2"/>
      <c r="I2099" s="8">
        <f>I2098/3/C2039</f>
        <v>11.767180747261733</v>
      </c>
      <c r="J2099" s="2"/>
      <c r="K2099" s="8">
        <f>K2098/3/K2039</f>
        <v>12.880998111181835</v>
      </c>
      <c r="L2099" s="2"/>
      <c r="M2099" s="8">
        <f>M2098/3/K2039</f>
        <v>8.781222467368213</v>
      </c>
    </row>
    <row r="2100" spans="1:13" ht="12.75">
      <c r="A2100" s="69" t="s">
        <v>20</v>
      </c>
      <c r="B2100" s="44"/>
      <c r="C2100" s="45"/>
      <c r="D2100" s="45"/>
      <c r="E2100" s="45">
        <f>E2044-E2098</f>
        <v>-76557.37262710003</v>
      </c>
      <c r="F2100" s="45"/>
      <c r="G2100" s="75">
        <f>G2044-G2098</f>
        <v>-8331.613425999996</v>
      </c>
      <c r="H2100" s="2"/>
      <c r="I2100" s="7">
        <f>I2044-I2098-8332</f>
        <v>-42079.5654964</v>
      </c>
      <c r="J2100" s="2"/>
      <c r="K2100" s="7">
        <f>K2044-K2098-42080</f>
        <v>-84917.8400257</v>
      </c>
      <c r="L2100" s="2"/>
      <c r="M2100" s="7">
        <f>M2044-M2098-84918</f>
        <v>-76558.353679</v>
      </c>
    </row>
    <row r="2101" spans="1:13" ht="12.75">
      <c r="A2101" s="14" t="s">
        <v>24</v>
      </c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</row>
    <row r="2102" spans="1:13" ht="12.75">
      <c r="A2102" s="14" t="s">
        <v>35</v>
      </c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</row>
    <row r="2103" spans="1:13" ht="12.75">
      <c r="A2103" s="14" t="s">
        <v>25</v>
      </c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</row>
    <row r="2104" spans="1:13" ht="12.75">
      <c r="A2104" s="14"/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</row>
    <row r="2105" spans="1:13" ht="12.75">
      <c r="A2105" s="14"/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</row>
    <row r="2106" spans="1:13" ht="12.75">
      <c r="A2106" s="14"/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</row>
    <row r="2107" spans="1:13" ht="12.75">
      <c r="A2107" s="14"/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</row>
    <row r="2108" spans="1:13" ht="12.75">
      <c r="A2108" s="14"/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</row>
    <row r="2109" spans="1:13" ht="12.75">
      <c r="A2109" s="14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</row>
    <row r="2110" spans="1:13" ht="12.75">
      <c r="A2110" s="14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</row>
    <row r="2111" spans="1:13" ht="12.75">
      <c r="A2111" s="14"/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</row>
    <row r="2112" spans="1:13" ht="12.75">
      <c r="A2112" s="14"/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</row>
    <row r="2113" spans="1:13" ht="12.75">
      <c r="A2113" s="14"/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</row>
    <row r="2114" spans="1:13" ht="3" customHeight="1">
      <c r="A2114" s="14"/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</row>
    <row r="2115" spans="1:13" ht="12.75" hidden="1">
      <c r="A2115" s="14"/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</row>
    <row r="2116" spans="1:13" ht="12.75" hidden="1">
      <c r="A2116" s="14"/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</row>
    <row r="2117" spans="1:13" ht="1.5" customHeight="1">
      <c r="A2117" s="14"/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</row>
    <row r="2118" spans="1:13" ht="12.75" hidden="1">
      <c r="A2118" s="14"/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</row>
    <row r="2119" spans="1:13" ht="12.75" hidden="1">
      <c r="A2119" s="14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</row>
    <row r="2120" spans="1:13" ht="12.75" hidden="1">
      <c r="A2120" s="14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</row>
    <row r="2121" spans="1:13" ht="12.75" hidden="1">
      <c r="A2121" s="14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</row>
    <row r="2122" spans="1:13" ht="12.75" hidden="1">
      <c r="A2122" s="14"/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</row>
    <row r="2123" spans="1:13" ht="12.75" hidden="1">
      <c r="A2123" s="14"/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</row>
    <row r="2124" spans="1:13" ht="12.75" hidden="1">
      <c r="A2124" s="14"/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</row>
    <row r="2125" spans="1:13" ht="12.75" hidden="1">
      <c r="A2125" s="14"/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</row>
    <row r="2126" spans="1:13" ht="12.75" hidden="1">
      <c r="A2126" s="14"/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</row>
    <row r="2127" spans="1:13" ht="12.75">
      <c r="A2127" s="31" t="s">
        <v>21</v>
      </c>
      <c r="B2127" s="31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</row>
    <row r="2128" spans="1:13" ht="12.75">
      <c r="A2128" s="14" t="s">
        <v>31</v>
      </c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</row>
    <row r="2129" spans="1:13" ht="12.75">
      <c r="A2129" s="14" t="s">
        <v>41</v>
      </c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</row>
    <row r="2130" spans="1:13" ht="12.75">
      <c r="A2130" s="14" t="s">
        <v>123</v>
      </c>
      <c r="B2130" s="14"/>
      <c r="C2130" s="14"/>
      <c r="D2130" s="14"/>
      <c r="E2130" s="14" t="s">
        <v>32</v>
      </c>
      <c r="F2130" s="14"/>
      <c r="G2130" s="14"/>
      <c r="H2130" s="14"/>
      <c r="I2130" s="14"/>
      <c r="J2130" s="14"/>
      <c r="K2130" s="14"/>
      <c r="L2130" s="14"/>
      <c r="M2130" s="14"/>
    </row>
    <row r="2131" spans="1:13" ht="12.75" customHeight="1">
      <c r="A2131" s="6" t="s">
        <v>0</v>
      </c>
      <c r="B2131" s="151" t="s">
        <v>38</v>
      </c>
      <c r="C2131" s="152"/>
      <c r="D2131" s="149" t="s">
        <v>39</v>
      </c>
      <c r="E2131" s="150"/>
      <c r="F2131" s="149" t="s">
        <v>96</v>
      </c>
      <c r="G2131" s="150"/>
      <c r="H2131" s="149" t="s">
        <v>97</v>
      </c>
      <c r="I2131" s="150"/>
      <c r="J2131" s="149" t="s">
        <v>98</v>
      </c>
      <c r="K2131" s="150"/>
      <c r="L2131" s="149" t="s">
        <v>99</v>
      </c>
      <c r="M2131" s="150"/>
    </row>
    <row r="2132" spans="1:13" ht="12.75">
      <c r="A2132" s="11" t="s">
        <v>5</v>
      </c>
      <c r="B2132" s="153"/>
      <c r="C2132" s="154"/>
      <c r="D2132" s="6" t="s">
        <v>40</v>
      </c>
      <c r="E2132" s="6" t="s">
        <v>22</v>
      </c>
      <c r="F2132" s="6" t="s">
        <v>40</v>
      </c>
      <c r="G2132" s="13" t="s">
        <v>22</v>
      </c>
      <c r="H2132" s="2"/>
      <c r="I2132" s="2"/>
      <c r="J2132" s="2"/>
      <c r="K2132" s="2"/>
      <c r="L2132" s="2"/>
      <c r="M2132" s="2"/>
    </row>
    <row r="2133" spans="1:13" ht="12.75">
      <c r="A2133" s="2" t="s">
        <v>1</v>
      </c>
      <c r="B2133" s="2"/>
      <c r="C2133" s="6">
        <v>5</v>
      </c>
      <c r="D2133" s="2"/>
      <c r="E2133" s="2"/>
      <c r="F2133" s="2"/>
      <c r="G2133" s="2"/>
      <c r="H2133" s="2"/>
      <c r="I2133" s="2"/>
      <c r="J2133" s="2"/>
      <c r="K2133" s="2"/>
      <c r="L2133" s="2"/>
      <c r="M2133" s="2"/>
    </row>
    <row r="2134" spans="1:13" ht="12.75">
      <c r="A2134" s="2" t="s">
        <v>2</v>
      </c>
      <c r="B2134" s="2"/>
      <c r="C2134" s="6">
        <v>6</v>
      </c>
      <c r="D2134" s="2"/>
      <c r="E2134" s="2"/>
      <c r="F2134" s="2"/>
      <c r="G2134" s="2"/>
      <c r="H2134" s="2"/>
      <c r="I2134" s="2"/>
      <c r="J2134" s="2"/>
      <c r="K2134" s="2"/>
      <c r="L2134" s="2"/>
      <c r="M2134" s="2"/>
    </row>
    <row r="2135" spans="1:13" ht="12.75">
      <c r="A2135" s="2" t="s">
        <v>3</v>
      </c>
      <c r="B2135" s="2"/>
      <c r="C2135" s="6">
        <v>60</v>
      </c>
      <c r="D2135" s="2"/>
      <c r="E2135" s="2"/>
      <c r="F2135" s="2"/>
      <c r="G2135" s="2"/>
      <c r="H2135" s="2"/>
      <c r="I2135" s="2"/>
      <c r="J2135" s="2"/>
      <c r="K2135" s="2"/>
      <c r="L2135" s="2"/>
      <c r="M2135" s="2"/>
    </row>
    <row r="2136" spans="1:13" ht="12.75">
      <c r="A2136" s="2" t="s">
        <v>4</v>
      </c>
      <c r="B2136" s="6"/>
      <c r="C2136" s="6">
        <v>3636.54</v>
      </c>
      <c r="D2136" s="6"/>
      <c r="E2136" s="6"/>
      <c r="F2136" s="6"/>
      <c r="G2136" s="2"/>
      <c r="H2136" s="2"/>
      <c r="I2136" s="2"/>
      <c r="J2136" s="2"/>
      <c r="K2136" s="2"/>
      <c r="L2136" s="2"/>
      <c r="M2136" s="2"/>
    </row>
    <row r="2137" spans="1:13" ht="21.75">
      <c r="A2137" s="35" t="s">
        <v>6</v>
      </c>
      <c r="B2137" s="11" t="s">
        <v>40</v>
      </c>
      <c r="C2137" s="2" t="s">
        <v>22</v>
      </c>
      <c r="D2137" s="2"/>
      <c r="E2137" s="2"/>
      <c r="F2137" s="2"/>
      <c r="G2137" s="2"/>
      <c r="H2137" s="2"/>
      <c r="I2137" s="2"/>
      <c r="J2137" s="2"/>
      <c r="K2137" s="2"/>
      <c r="L2137" s="2"/>
      <c r="M2137" s="2"/>
    </row>
    <row r="2138" spans="1:13" ht="22.5">
      <c r="A2138" s="40" t="s">
        <v>7</v>
      </c>
      <c r="B2138" s="3"/>
      <c r="C2138" s="6"/>
      <c r="D2138" s="6"/>
      <c r="E2138" s="6">
        <f>G2138+I2138+K2138+M2138</f>
        <v>456899.44000000006</v>
      </c>
      <c r="F2138" s="2"/>
      <c r="G2138" s="6">
        <v>99740.8</v>
      </c>
      <c r="H2138" s="2"/>
      <c r="I2138" s="2">
        <v>118648.77</v>
      </c>
      <c r="J2138" s="2"/>
      <c r="K2138" s="2">
        <v>115926.21</v>
      </c>
      <c r="L2138" s="2"/>
      <c r="M2138" s="2">
        <v>122583.66</v>
      </c>
    </row>
    <row r="2139" spans="1:13" ht="12.75">
      <c r="A2139" s="41" t="s">
        <v>8</v>
      </c>
      <c r="B2139" s="3"/>
      <c r="C2139" s="6"/>
      <c r="D2139" s="6"/>
      <c r="E2139" s="6"/>
      <c r="F2139" s="2"/>
      <c r="G2139" s="6"/>
      <c r="H2139" s="2"/>
      <c r="I2139" s="2"/>
      <c r="J2139" s="2"/>
      <c r="K2139" s="2"/>
      <c r="L2139" s="2"/>
      <c r="M2139" s="2"/>
    </row>
    <row r="2140" spans="1:13" ht="12.75">
      <c r="A2140" s="41" t="s">
        <v>9</v>
      </c>
      <c r="B2140" s="3"/>
      <c r="C2140" s="6"/>
      <c r="D2140" s="6"/>
      <c r="E2140" s="6"/>
      <c r="F2140" s="2"/>
      <c r="G2140" s="6"/>
      <c r="H2140" s="2"/>
      <c r="I2140" s="2"/>
      <c r="J2140" s="2"/>
      <c r="K2140" s="2"/>
      <c r="L2140" s="2"/>
      <c r="M2140" s="2"/>
    </row>
    <row r="2141" spans="1:13" ht="12.75">
      <c r="A2141" s="2" t="s">
        <v>10</v>
      </c>
      <c r="B2141" s="42"/>
      <c r="C2141" s="11"/>
      <c r="D2141" s="11"/>
      <c r="E2141" s="11">
        <f>SUM(E2138:E2140)</f>
        <v>456899.44000000006</v>
      </c>
      <c r="F2141" s="37"/>
      <c r="G2141" s="11">
        <f>SUM(G2138:G2140)</f>
        <v>99740.8</v>
      </c>
      <c r="H2141" s="2"/>
      <c r="I2141" s="2">
        <f>SUM(I2138:I2140)</f>
        <v>118648.77</v>
      </c>
      <c r="J2141" s="2"/>
      <c r="K2141" s="2">
        <f>SUM(K2138:K2140)</f>
        <v>115926.21</v>
      </c>
      <c r="L2141" s="2"/>
      <c r="M2141" s="2">
        <f>SUM(M2138:M2140)</f>
        <v>122583.66</v>
      </c>
    </row>
    <row r="2142" spans="1:13" ht="21.75">
      <c r="A2142" s="35" t="s">
        <v>82</v>
      </c>
      <c r="B2142" s="4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</row>
    <row r="2143" spans="1:13" ht="12.75">
      <c r="A2143" s="43" t="s">
        <v>11</v>
      </c>
      <c r="B2143" s="44"/>
      <c r="C2143" s="45"/>
      <c r="D2143" s="45"/>
      <c r="E2143" s="45">
        <f>G2143+I2143+K2143+M2143</f>
        <v>118624.29845399999</v>
      </c>
      <c r="F2143" s="45"/>
      <c r="G2143" s="45">
        <f>7.99407*C2136</f>
        <v>29070.755317799998</v>
      </c>
      <c r="H2143" s="2"/>
      <c r="I2143" s="7">
        <f>9.57707*C2136</f>
        <v>34827.3981378</v>
      </c>
      <c r="J2143" s="2"/>
      <c r="K2143" s="7">
        <f>7.32829*C2136</f>
        <v>26649.6197166</v>
      </c>
      <c r="L2143" s="2"/>
      <c r="M2143" s="7">
        <f>7.72067*C2136</f>
        <v>28076.5252818</v>
      </c>
    </row>
    <row r="2144" spans="1:13" ht="12.75">
      <c r="A2144" s="43" t="s">
        <v>12</v>
      </c>
      <c r="B2144" s="46"/>
      <c r="C2144" s="7"/>
      <c r="D2144" s="7"/>
      <c r="E2144" s="7">
        <f aca="true" t="shared" si="43" ref="E2144:E2192">G2144+I2144+K2144+M2144</f>
        <v>0</v>
      </c>
      <c r="F2144" s="7"/>
      <c r="G2144" s="2"/>
      <c r="H2144" s="2"/>
      <c r="I2144" s="7"/>
      <c r="J2144" s="2"/>
      <c r="K2144" s="7"/>
      <c r="L2144" s="2"/>
      <c r="M2144" s="7"/>
    </row>
    <row r="2145" spans="1:13" ht="12.75">
      <c r="A2145" s="41" t="s">
        <v>13</v>
      </c>
      <c r="B2145" s="46"/>
      <c r="C2145" s="7"/>
      <c r="D2145" s="7"/>
      <c r="E2145" s="7">
        <f t="shared" si="43"/>
        <v>156893.27383639998</v>
      </c>
      <c r="F2145" s="7"/>
      <c r="G2145" s="7">
        <f>G2146+G2148+G2149+G2150+G2153+G2154+G2155+G2156+G2157+G2158+G2159</f>
        <v>36157.1329318</v>
      </c>
      <c r="H2145" s="2"/>
      <c r="I2145" s="7">
        <f>I2146+I2148+I2149+I2150+I2153+I2154+I2155+I2156+I2157+I2158+I2159</f>
        <v>42272.2510946</v>
      </c>
      <c r="J2145" s="2"/>
      <c r="K2145" s="7">
        <f>K2146+K2148+K2149+K2150+K2152+K2153+K2154+K2155+K2156+K2157+K2158+K2159</f>
        <v>45637.21675</v>
      </c>
      <c r="L2145" s="2"/>
      <c r="M2145" s="7">
        <f>M2146+M2148+M2149+M2150+M2151+M2152+M2153+M2154+M2155+M2156+M2157+M2158+M2159</f>
        <v>32826.67306</v>
      </c>
    </row>
    <row r="2146" spans="1:13" ht="12.75">
      <c r="A2146" s="47" t="s">
        <v>14</v>
      </c>
      <c r="B2146" s="46"/>
      <c r="C2146" s="71"/>
      <c r="D2146" s="7"/>
      <c r="E2146" s="7">
        <f t="shared" si="43"/>
        <v>130604</v>
      </c>
      <c r="F2146" s="7"/>
      <c r="G2146" s="7">
        <v>33744</v>
      </c>
      <c r="H2146" s="2"/>
      <c r="I2146" s="7">
        <v>32669</v>
      </c>
      <c r="J2146" s="2"/>
      <c r="K2146" s="7">
        <v>34259</v>
      </c>
      <c r="L2146" s="2"/>
      <c r="M2146" s="7">
        <v>29932</v>
      </c>
    </row>
    <row r="2147" spans="1:13" ht="12.75">
      <c r="A2147" s="41" t="s">
        <v>19</v>
      </c>
      <c r="B2147" s="46"/>
      <c r="C2147" s="71"/>
      <c r="D2147" s="7"/>
      <c r="E2147" s="7">
        <f t="shared" si="43"/>
        <v>86434</v>
      </c>
      <c r="F2147" s="7"/>
      <c r="G2147" s="7">
        <v>21619</v>
      </c>
      <c r="H2147" s="2"/>
      <c r="I2147" s="7">
        <v>21619</v>
      </c>
      <c r="J2147" s="2"/>
      <c r="K2147" s="7">
        <v>21598</v>
      </c>
      <c r="L2147" s="2"/>
      <c r="M2147" s="7">
        <v>21598</v>
      </c>
    </row>
    <row r="2148" spans="1:13" ht="12.75">
      <c r="A2148" s="41" t="s">
        <v>18</v>
      </c>
      <c r="B2148" s="46"/>
      <c r="C2148" s="7"/>
      <c r="D2148" s="7"/>
      <c r="E2148" s="7">
        <f t="shared" si="43"/>
        <v>1351.46</v>
      </c>
      <c r="F2148" s="7"/>
      <c r="G2148" s="7">
        <v>211.96</v>
      </c>
      <c r="H2148" s="2"/>
      <c r="I2148" s="7">
        <v>298</v>
      </c>
      <c r="J2148" s="2"/>
      <c r="K2148" s="7">
        <v>403.96</v>
      </c>
      <c r="L2148" s="2"/>
      <c r="M2148" s="7">
        <v>437.54</v>
      </c>
    </row>
    <row r="2149" spans="1:13" ht="12.75">
      <c r="A2149" s="41" t="s">
        <v>53</v>
      </c>
      <c r="B2149" s="46"/>
      <c r="C2149" s="7"/>
      <c r="D2149" s="7"/>
      <c r="E2149" s="7">
        <f t="shared" si="43"/>
        <v>8878.1779124</v>
      </c>
      <c r="F2149" s="7"/>
      <c r="G2149" s="7">
        <f>0.54857*C2136</f>
        <v>1994.8967478</v>
      </c>
      <c r="H2149" s="2"/>
      <c r="I2149" s="7">
        <f>0.53049*C2136</f>
        <v>1929.1481046000001</v>
      </c>
      <c r="J2149" s="2"/>
      <c r="K2149" s="7">
        <v>4085</v>
      </c>
      <c r="L2149" s="2"/>
      <c r="M2149" s="7">
        <f>0.239*C2136</f>
        <v>869.13306</v>
      </c>
    </row>
    <row r="2150" spans="1:13" ht="12.75">
      <c r="A2150" s="41" t="s">
        <v>148</v>
      </c>
      <c r="B2150" s="46"/>
      <c r="C2150" s="7"/>
      <c r="D2150" s="7"/>
      <c r="E2150" s="7">
        <f t="shared" si="43"/>
        <v>590</v>
      </c>
      <c r="F2150" s="7"/>
      <c r="G2150" s="7">
        <v>135</v>
      </c>
      <c r="H2150" s="2"/>
      <c r="I2150" s="7"/>
      <c r="J2150" s="2"/>
      <c r="K2150" s="7">
        <v>455</v>
      </c>
      <c r="L2150" s="2"/>
      <c r="M2150" s="7"/>
    </row>
    <row r="2151" spans="1:13" ht="12.75">
      <c r="A2151" s="41" t="s">
        <v>430</v>
      </c>
      <c r="B2151" s="46"/>
      <c r="C2151" s="7"/>
      <c r="D2151" s="7"/>
      <c r="E2151" s="7"/>
      <c r="F2151" s="7"/>
      <c r="G2151" s="7"/>
      <c r="H2151" s="2"/>
      <c r="I2151" s="7"/>
      <c r="J2151" s="2"/>
      <c r="K2151" s="7"/>
      <c r="L2151" s="2"/>
      <c r="M2151" s="7">
        <v>1588</v>
      </c>
    </row>
    <row r="2152" spans="1:13" ht="12.75">
      <c r="A2152" s="41" t="s">
        <v>248</v>
      </c>
      <c r="B2152" s="46"/>
      <c r="C2152" s="7"/>
      <c r="D2152" s="7"/>
      <c r="E2152" s="7"/>
      <c r="F2152" s="7"/>
      <c r="G2152" s="7"/>
      <c r="H2152" s="2"/>
      <c r="I2152" s="7"/>
      <c r="J2152" s="2"/>
      <c r="K2152" s="7">
        <v>1746.8</v>
      </c>
      <c r="L2152" s="2"/>
      <c r="M2152" s="7"/>
    </row>
    <row r="2153" spans="1:13" ht="12.75">
      <c r="A2153" s="41" t="s">
        <v>27</v>
      </c>
      <c r="B2153" s="46"/>
      <c r="C2153" s="7"/>
      <c r="D2153" s="7"/>
      <c r="E2153" s="7">
        <f t="shared" si="43"/>
        <v>1592</v>
      </c>
      <c r="F2153" s="7"/>
      <c r="G2153" s="7"/>
      <c r="H2153" s="2"/>
      <c r="I2153" s="7">
        <v>1592</v>
      </c>
      <c r="J2153" s="2"/>
      <c r="K2153" s="7"/>
      <c r="L2153" s="2"/>
      <c r="M2153" s="7"/>
    </row>
    <row r="2154" spans="1:13" ht="12.75">
      <c r="A2154" s="41" t="s">
        <v>36</v>
      </c>
      <c r="B2154" s="46"/>
      <c r="C2154" s="7"/>
      <c r="D2154" s="7"/>
      <c r="E2154" s="7">
        <f t="shared" si="43"/>
        <v>4642</v>
      </c>
      <c r="F2154" s="7"/>
      <c r="G2154" s="7"/>
      <c r="H2154" s="2"/>
      <c r="I2154" s="7"/>
      <c r="J2154" s="2" t="s">
        <v>327</v>
      </c>
      <c r="K2154" s="7">
        <v>4642</v>
      </c>
      <c r="L2154" s="2"/>
      <c r="M2154" s="7"/>
    </row>
    <row r="2155" spans="1:13" ht="12.75">
      <c r="A2155" s="41" t="s">
        <v>58</v>
      </c>
      <c r="B2155" s="46"/>
      <c r="C2155" s="7"/>
      <c r="D2155" s="7"/>
      <c r="E2155" s="7">
        <f t="shared" si="43"/>
        <v>0</v>
      </c>
      <c r="F2155" s="7"/>
      <c r="G2155" s="7"/>
      <c r="H2155" s="2"/>
      <c r="I2155" s="7"/>
      <c r="J2155" s="2"/>
      <c r="K2155" s="7"/>
      <c r="L2155" s="2"/>
      <c r="M2155" s="7"/>
    </row>
    <row r="2156" spans="1:13" ht="12.75">
      <c r="A2156" s="41" t="s">
        <v>43</v>
      </c>
      <c r="B2156" s="46"/>
      <c r="C2156" s="7"/>
      <c r="D2156" s="7"/>
      <c r="E2156" s="7">
        <f t="shared" si="43"/>
        <v>0</v>
      </c>
      <c r="F2156" s="7"/>
      <c r="G2156" s="7"/>
      <c r="H2156" s="2"/>
      <c r="I2156" s="7"/>
      <c r="J2156" s="2"/>
      <c r="K2156" s="7"/>
      <c r="L2156" s="2"/>
      <c r="M2156" s="7"/>
    </row>
    <row r="2157" spans="1:13" ht="12.75">
      <c r="A2157" s="41" t="s">
        <v>30</v>
      </c>
      <c r="B2157" s="46"/>
      <c r="C2157" s="7"/>
      <c r="D2157" s="7"/>
      <c r="E2157" s="7">
        <f t="shared" si="43"/>
        <v>5535</v>
      </c>
      <c r="F2157" s="7"/>
      <c r="G2157" s="7"/>
      <c r="H2157" s="2"/>
      <c r="I2157" s="7">
        <v>5535</v>
      </c>
      <c r="J2157" s="2"/>
      <c r="K2157" s="7"/>
      <c r="L2157" s="2"/>
      <c r="M2157" s="7"/>
    </row>
    <row r="2158" spans="1:13" ht="12.75">
      <c r="A2158" s="41" t="s">
        <v>54</v>
      </c>
      <c r="B2158" s="46"/>
      <c r="C2158" s="7"/>
      <c r="D2158" s="7"/>
      <c r="E2158" s="7">
        <f t="shared" si="43"/>
        <v>71.276184</v>
      </c>
      <c r="F2158" s="7"/>
      <c r="G2158" s="7">
        <f>0.0196*C2136</f>
        <v>71.276184</v>
      </c>
      <c r="H2158" s="2"/>
      <c r="I2158" s="7"/>
      <c r="J2158" s="2"/>
      <c r="K2158" s="7"/>
      <c r="L2158" s="2"/>
      <c r="M2158" s="7"/>
    </row>
    <row r="2159" spans="1:13" ht="13.5" thickBot="1">
      <c r="A2159" s="48" t="s">
        <v>55</v>
      </c>
      <c r="B2159" s="49"/>
      <c r="C2159" s="50"/>
      <c r="D2159" s="50"/>
      <c r="E2159" s="50">
        <f t="shared" si="43"/>
        <v>294.55974000000003</v>
      </c>
      <c r="F2159" s="50"/>
      <c r="G2159" s="50"/>
      <c r="H2159" s="22"/>
      <c r="I2159" s="50">
        <f>0.0685*C2136</f>
        <v>249.10299</v>
      </c>
      <c r="J2159" s="22"/>
      <c r="K2159" s="50">
        <f>0.0125*C2136</f>
        <v>45.45675</v>
      </c>
      <c r="L2159" s="22"/>
      <c r="M2159" s="50"/>
    </row>
    <row r="2160" spans="1:13" ht="13.5" thickBot="1">
      <c r="A2160" s="106" t="s">
        <v>76</v>
      </c>
      <c r="B2160" s="81"/>
      <c r="C2160" s="63"/>
      <c r="D2160" s="63"/>
      <c r="E2160" s="63">
        <f t="shared" si="43"/>
        <v>275517.57229040004</v>
      </c>
      <c r="F2160" s="63"/>
      <c r="G2160" s="63">
        <f>G2143+G2145</f>
        <v>65227.8882496</v>
      </c>
      <c r="H2160" s="26"/>
      <c r="I2160" s="63">
        <f>I2143+I2145</f>
        <v>77099.6492324</v>
      </c>
      <c r="J2160" s="26"/>
      <c r="K2160" s="63">
        <f>K2143+K2145</f>
        <v>72286.8364666</v>
      </c>
      <c r="L2160" s="26"/>
      <c r="M2160" s="29">
        <f>M2143+M2145</f>
        <v>60903.1983418</v>
      </c>
    </row>
    <row r="2161" spans="1:13" ht="14.25" customHeight="1">
      <c r="A2161" s="54" t="s">
        <v>15</v>
      </c>
      <c r="B2161" s="55"/>
      <c r="C2161" s="66"/>
      <c r="D2161" s="66"/>
      <c r="E2161" s="56">
        <f t="shared" si="43"/>
        <v>0</v>
      </c>
      <c r="F2161" s="66"/>
      <c r="G2161" s="56"/>
      <c r="H2161" s="74"/>
      <c r="I2161" s="56"/>
      <c r="J2161" s="74"/>
      <c r="K2161" s="56"/>
      <c r="L2161" s="74"/>
      <c r="M2161" s="56"/>
    </row>
    <row r="2162" spans="1:13" ht="12.75">
      <c r="A2162" s="41" t="s">
        <v>17</v>
      </c>
      <c r="B2162" s="46"/>
      <c r="C2162" s="7"/>
      <c r="D2162" s="7"/>
      <c r="E2162" s="7">
        <f t="shared" si="43"/>
        <v>102810.4769754</v>
      </c>
      <c r="F2162" s="7"/>
      <c r="G2162" s="7">
        <f>6.73321*C2136</f>
        <v>24485.5874934</v>
      </c>
      <c r="H2162" s="2"/>
      <c r="I2162" s="7">
        <f>7.02207*C2136</f>
        <v>25536.0384378</v>
      </c>
      <c r="J2162" s="2"/>
      <c r="K2162" s="7">
        <f>7.2754*C2136</f>
        <v>26457.283116000002</v>
      </c>
      <c r="L2162" s="2"/>
      <c r="M2162" s="7">
        <f>7.24083*C2136</f>
        <v>26331.5679282</v>
      </c>
    </row>
    <row r="2163" spans="1:13" ht="12.75">
      <c r="A2163" s="41" t="s">
        <v>254</v>
      </c>
      <c r="B2163" s="46"/>
      <c r="C2163" s="71"/>
      <c r="D2163" s="7"/>
      <c r="E2163" s="7">
        <f t="shared" si="43"/>
        <v>1400</v>
      </c>
      <c r="F2163" s="7"/>
      <c r="G2163" s="7"/>
      <c r="H2163" s="2"/>
      <c r="I2163" s="7">
        <v>1400</v>
      </c>
      <c r="J2163" s="2"/>
      <c r="K2163" s="7"/>
      <c r="L2163" s="2"/>
      <c r="M2163" s="7"/>
    </row>
    <row r="2164" spans="1:13" ht="12.75">
      <c r="A2164" s="41" t="s">
        <v>67</v>
      </c>
      <c r="B2164" s="46"/>
      <c r="C2164" s="7"/>
      <c r="D2164" s="7"/>
      <c r="E2164" s="7">
        <f t="shared" si="43"/>
        <v>7416</v>
      </c>
      <c r="F2164" s="7"/>
      <c r="G2164" s="7">
        <v>872.5</v>
      </c>
      <c r="H2164" s="2"/>
      <c r="I2164" s="7"/>
      <c r="J2164" s="2"/>
      <c r="K2164" s="7">
        <v>2540</v>
      </c>
      <c r="L2164" s="2"/>
      <c r="M2164" s="7">
        <v>4003.5</v>
      </c>
    </row>
    <row r="2165" spans="1:13" ht="12.75">
      <c r="A2165" s="41" t="s">
        <v>68</v>
      </c>
      <c r="B2165" s="46"/>
      <c r="C2165" s="7"/>
      <c r="D2165" s="7"/>
      <c r="E2165" s="7">
        <f t="shared" si="43"/>
        <v>104.5</v>
      </c>
      <c r="F2165" s="7"/>
      <c r="G2165" s="7"/>
      <c r="H2165" s="2"/>
      <c r="I2165" s="7">
        <v>104.5</v>
      </c>
      <c r="J2165" s="2"/>
      <c r="K2165" s="7"/>
      <c r="L2165" s="2"/>
      <c r="M2165" s="7"/>
    </row>
    <row r="2166" spans="1:13" ht="12.75">
      <c r="A2166" s="41" t="s">
        <v>69</v>
      </c>
      <c r="B2166" s="46"/>
      <c r="C2166" s="7"/>
      <c r="D2166" s="7"/>
      <c r="E2166" s="7">
        <f t="shared" si="43"/>
        <v>1093</v>
      </c>
      <c r="F2166" s="7"/>
      <c r="G2166" s="7"/>
      <c r="H2166" s="2"/>
      <c r="I2166" s="7"/>
      <c r="J2166" s="2"/>
      <c r="K2166" s="7"/>
      <c r="L2166" s="2"/>
      <c r="M2166" s="7">
        <v>1093</v>
      </c>
    </row>
    <row r="2167" spans="1:13" ht="12.75">
      <c r="A2167" s="41" t="s">
        <v>26</v>
      </c>
      <c r="B2167" s="46"/>
      <c r="C2167" s="7"/>
      <c r="D2167" s="7"/>
      <c r="E2167" s="7">
        <f t="shared" si="43"/>
        <v>6582</v>
      </c>
      <c r="F2167" s="7"/>
      <c r="G2167" s="7"/>
      <c r="H2167" s="2"/>
      <c r="I2167" s="7"/>
      <c r="J2167" s="2"/>
      <c r="K2167" s="7">
        <v>2644</v>
      </c>
      <c r="L2167" s="2"/>
      <c r="M2167" s="7">
        <v>3938</v>
      </c>
    </row>
    <row r="2168" spans="1:13" ht="12.75">
      <c r="A2168" s="41" t="s">
        <v>28</v>
      </c>
      <c r="B2168" s="46"/>
      <c r="C2168" s="7"/>
      <c r="D2168" s="7"/>
      <c r="E2168" s="7">
        <f t="shared" si="43"/>
        <v>865</v>
      </c>
      <c r="F2168" s="7"/>
      <c r="G2168" s="7"/>
      <c r="H2168" s="2"/>
      <c r="I2168" s="7"/>
      <c r="J2168" s="2"/>
      <c r="K2168" s="7"/>
      <c r="L2168" s="2"/>
      <c r="M2168" s="7">
        <v>865</v>
      </c>
    </row>
    <row r="2169" spans="1:13" ht="12.75">
      <c r="A2169" s="41" t="s">
        <v>291</v>
      </c>
      <c r="B2169" s="46"/>
      <c r="C2169" s="7"/>
      <c r="D2169" s="7"/>
      <c r="E2169" s="7"/>
      <c r="F2169" s="7"/>
      <c r="G2169" s="7"/>
      <c r="H2169" s="2"/>
      <c r="I2169" s="7"/>
      <c r="J2169" s="2"/>
      <c r="K2169" s="7">
        <v>750</v>
      </c>
      <c r="L2169" s="2"/>
      <c r="M2169" s="7"/>
    </row>
    <row r="2170" spans="1:13" ht="12.75">
      <c r="A2170" s="41" t="s">
        <v>347</v>
      </c>
      <c r="B2170" s="46"/>
      <c r="C2170" s="7"/>
      <c r="D2170" s="7"/>
      <c r="E2170" s="7">
        <f t="shared" si="43"/>
        <v>1075</v>
      </c>
      <c r="F2170" s="7"/>
      <c r="G2170" s="7"/>
      <c r="H2170" s="2"/>
      <c r="I2170" s="7"/>
      <c r="J2170" s="2"/>
      <c r="K2170" s="7">
        <v>1075</v>
      </c>
      <c r="L2170" s="2"/>
      <c r="M2170" s="7"/>
    </row>
    <row r="2171" spans="1:13" ht="12.75">
      <c r="A2171" s="41" t="s">
        <v>253</v>
      </c>
      <c r="B2171" s="46"/>
      <c r="C2171" s="7"/>
      <c r="D2171" s="7"/>
      <c r="E2171" s="7">
        <f t="shared" si="43"/>
        <v>8427</v>
      </c>
      <c r="F2171" s="7"/>
      <c r="G2171" s="7"/>
      <c r="H2171" s="2"/>
      <c r="I2171" s="7">
        <v>8427</v>
      </c>
      <c r="J2171" s="2"/>
      <c r="K2171" s="7"/>
      <c r="L2171" s="2"/>
      <c r="M2171" s="7"/>
    </row>
    <row r="2172" spans="1:13" ht="12.75">
      <c r="A2172" s="41" t="s">
        <v>62</v>
      </c>
      <c r="B2172" s="46"/>
      <c r="C2172" s="7"/>
      <c r="D2172" s="7"/>
      <c r="E2172" s="7">
        <f t="shared" si="43"/>
        <v>0</v>
      </c>
      <c r="F2172" s="7"/>
      <c r="G2172" s="7"/>
      <c r="H2172" s="2"/>
      <c r="I2172" s="7"/>
      <c r="J2172" s="2"/>
      <c r="K2172" s="7"/>
      <c r="L2172" s="2"/>
      <c r="M2172" s="7"/>
    </row>
    <row r="2173" spans="1:13" ht="12.75">
      <c r="A2173" s="41" t="s">
        <v>63</v>
      </c>
      <c r="B2173" s="46"/>
      <c r="C2173" s="7"/>
      <c r="D2173" s="7"/>
      <c r="E2173" s="7">
        <f t="shared" si="43"/>
        <v>0</v>
      </c>
      <c r="F2173" s="7"/>
      <c r="G2173" s="7"/>
      <c r="H2173" s="2"/>
      <c r="I2173" s="7"/>
      <c r="J2173" s="2"/>
      <c r="K2173" s="7"/>
      <c r="L2173" s="2"/>
      <c r="M2173" s="7"/>
    </row>
    <row r="2174" spans="1:13" ht="12.75">
      <c r="A2174" s="41" t="s">
        <v>432</v>
      </c>
      <c r="B2174" s="46"/>
      <c r="C2174" s="7"/>
      <c r="D2174" s="7"/>
      <c r="E2174" s="7">
        <f t="shared" si="43"/>
        <v>28553</v>
      </c>
      <c r="F2174" s="7"/>
      <c r="G2174" s="7"/>
      <c r="H2174" s="2"/>
      <c r="I2174" s="7"/>
      <c r="J2174" s="2"/>
      <c r="K2174" s="7"/>
      <c r="L2174" s="2"/>
      <c r="M2174" s="7">
        <v>28553</v>
      </c>
    </row>
    <row r="2175" spans="1:13" ht="12.75">
      <c r="A2175" s="41" t="s">
        <v>51</v>
      </c>
      <c r="B2175" s="46"/>
      <c r="C2175" s="7"/>
      <c r="D2175" s="7"/>
      <c r="E2175" s="7">
        <f t="shared" si="43"/>
        <v>2548.68</v>
      </c>
      <c r="F2175" s="7"/>
      <c r="G2175" s="7"/>
      <c r="H2175" s="2"/>
      <c r="I2175" s="7">
        <v>2548.68</v>
      </c>
      <c r="J2175" s="2"/>
      <c r="K2175" s="7"/>
      <c r="L2175" s="2"/>
      <c r="M2175" s="7"/>
    </row>
    <row r="2176" spans="1:13" ht="12.75">
      <c r="A2176" s="58" t="s">
        <v>52</v>
      </c>
      <c r="B2176" s="46"/>
      <c r="C2176" s="7"/>
      <c r="D2176" s="7"/>
      <c r="E2176" s="7">
        <f t="shared" si="43"/>
        <v>0</v>
      </c>
      <c r="F2176" s="7"/>
      <c r="G2176" s="7"/>
      <c r="H2176" s="2"/>
      <c r="I2176" s="7"/>
      <c r="J2176" s="2"/>
      <c r="K2176" s="7"/>
      <c r="L2176" s="2"/>
      <c r="M2176" s="7"/>
    </row>
    <row r="2177" spans="1:13" ht="12.75">
      <c r="A2177" s="41" t="s">
        <v>429</v>
      </c>
      <c r="B2177" s="46"/>
      <c r="C2177" s="7"/>
      <c r="D2177" s="7"/>
      <c r="E2177" s="7">
        <f t="shared" si="43"/>
        <v>110</v>
      </c>
      <c r="F2177" s="7"/>
      <c r="G2177" s="7"/>
      <c r="H2177" s="2"/>
      <c r="I2177" s="7"/>
      <c r="J2177" s="2"/>
      <c r="K2177" s="7"/>
      <c r="L2177" s="2"/>
      <c r="M2177" s="7">
        <v>110</v>
      </c>
    </row>
    <row r="2178" spans="1:13" ht="12.75">
      <c r="A2178" s="41" t="s">
        <v>65</v>
      </c>
      <c r="B2178" s="46"/>
      <c r="C2178" s="7"/>
      <c r="D2178" s="7"/>
      <c r="E2178" s="7">
        <f t="shared" si="43"/>
        <v>0</v>
      </c>
      <c r="F2178" s="7"/>
      <c r="G2178" s="7"/>
      <c r="H2178" s="2"/>
      <c r="I2178" s="7"/>
      <c r="J2178" s="2"/>
      <c r="K2178" s="7"/>
      <c r="L2178" s="2"/>
      <c r="M2178" s="7"/>
    </row>
    <row r="2179" spans="1:13" ht="12.75">
      <c r="A2179" s="41" t="s">
        <v>57</v>
      </c>
      <c r="B2179" s="46"/>
      <c r="C2179" s="7"/>
      <c r="D2179" s="7"/>
      <c r="E2179" s="7">
        <f t="shared" si="43"/>
        <v>0</v>
      </c>
      <c r="F2179" s="7"/>
      <c r="G2179" s="7"/>
      <c r="H2179" s="2"/>
      <c r="I2179" s="7"/>
      <c r="J2179" s="2"/>
      <c r="K2179" s="7"/>
      <c r="L2179" s="2"/>
      <c r="M2179" s="7"/>
    </row>
    <row r="2180" spans="1:13" ht="12.75">
      <c r="A2180" s="41" t="s">
        <v>33</v>
      </c>
      <c r="B2180" s="46"/>
      <c r="C2180" s="7"/>
      <c r="D2180" s="7"/>
      <c r="E2180" s="7">
        <f>G2180+I2180+K2180+M2181</f>
        <v>461.84058</v>
      </c>
      <c r="F2180" s="15"/>
      <c r="G2180" s="7"/>
      <c r="H2180" s="2"/>
      <c r="I2180" s="7"/>
      <c r="J2180" s="2"/>
      <c r="K2180" s="7"/>
      <c r="L2180" s="2"/>
      <c r="M2180" s="132">
        <v>3162</v>
      </c>
    </row>
    <row r="2181" spans="1:13" ht="12.75">
      <c r="A2181" s="41" t="s">
        <v>50</v>
      </c>
      <c r="B2181" s="46"/>
      <c r="C2181" s="7"/>
      <c r="D2181" s="7"/>
      <c r="E2181" s="7">
        <f>G2181+I2181+K2181+M2182</f>
        <v>3568.9003560000006</v>
      </c>
      <c r="F2181" s="7"/>
      <c r="G2181" s="7">
        <f>0.2455*C2136</f>
        <v>892.77057</v>
      </c>
      <c r="H2181" s="2"/>
      <c r="I2181" s="7">
        <f>0.5802*C2136</f>
        <v>2109.920508</v>
      </c>
      <c r="J2181" s="2"/>
      <c r="K2181" s="7">
        <f>0.1437*C2136</f>
        <v>522.570798</v>
      </c>
      <c r="L2181" s="2"/>
      <c r="M2181" s="7">
        <f>0.127*C2136</f>
        <v>461.84058</v>
      </c>
    </row>
    <row r="2182" spans="1:13" ht="13.5" thickBot="1">
      <c r="A2182" s="48" t="s">
        <v>54</v>
      </c>
      <c r="B2182" s="49"/>
      <c r="C2182" s="50"/>
      <c r="D2182" s="50"/>
      <c r="E2182" s="50">
        <f t="shared" si="43"/>
        <v>112.005432</v>
      </c>
      <c r="F2182" s="50"/>
      <c r="G2182" s="50"/>
      <c r="H2182" s="22"/>
      <c r="I2182" s="50">
        <f>0.0078*C2136</f>
        <v>28.365012</v>
      </c>
      <c r="J2182" s="22"/>
      <c r="K2182" s="50">
        <f>0.011*C2136</f>
        <v>40.00194</v>
      </c>
      <c r="L2182" s="22"/>
      <c r="M2182" s="50">
        <f>0.012*C2136</f>
        <v>43.63848</v>
      </c>
    </row>
    <row r="2183" spans="1:13" ht="13.5" thickBot="1">
      <c r="A2183" s="59" t="s">
        <v>10</v>
      </c>
      <c r="B2183" s="81"/>
      <c r="C2183" s="63"/>
      <c r="D2183" s="63"/>
      <c r="E2183" s="63">
        <f t="shared" si="43"/>
        <v>168995.76486340002</v>
      </c>
      <c r="F2183" s="63"/>
      <c r="G2183" s="63">
        <f>SUM(G2162:G2182)</f>
        <v>26250.8580634</v>
      </c>
      <c r="H2183" s="26"/>
      <c r="I2183" s="63">
        <f>SUM(I2162:I2182)</f>
        <v>40154.50395780001</v>
      </c>
      <c r="J2183" s="26"/>
      <c r="K2183" s="63">
        <f>SUM(K2162:K2182)</f>
        <v>34028.85585400001</v>
      </c>
      <c r="L2183" s="26"/>
      <c r="M2183" s="29">
        <f>SUM(M2162:M2182)</f>
        <v>68561.5469882</v>
      </c>
    </row>
    <row r="2184" spans="1:13" ht="12.75">
      <c r="A2184" s="60" t="s">
        <v>42</v>
      </c>
      <c r="B2184" s="55"/>
      <c r="C2184" s="66"/>
      <c r="D2184" s="66"/>
      <c r="E2184" s="56">
        <f t="shared" si="43"/>
        <v>0</v>
      </c>
      <c r="F2184" s="66"/>
      <c r="G2184" s="56"/>
      <c r="H2184" s="74"/>
      <c r="I2184" s="56"/>
      <c r="J2184" s="74"/>
      <c r="K2184" s="56"/>
      <c r="L2184" s="74"/>
      <c r="M2184" s="56"/>
    </row>
    <row r="2185" spans="1:13" ht="12.75">
      <c r="A2185" s="74" t="s">
        <v>283</v>
      </c>
      <c r="B2185" s="55"/>
      <c r="C2185" s="66"/>
      <c r="D2185" s="66"/>
      <c r="E2185" s="56">
        <f>G2185+I2185+K2185+M2185</f>
        <v>45.37</v>
      </c>
      <c r="F2185" s="66"/>
      <c r="G2185" s="56">
        <v>45.37</v>
      </c>
      <c r="H2185" s="74"/>
      <c r="I2185" s="56"/>
      <c r="J2185" s="74"/>
      <c r="K2185" s="56"/>
      <c r="L2185" s="74"/>
      <c r="M2185" s="56"/>
    </row>
    <row r="2186" spans="1:13" ht="12.75">
      <c r="A2186" s="41" t="s">
        <v>56</v>
      </c>
      <c r="B2186" s="46"/>
      <c r="C2186" s="7"/>
      <c r="D2186" s="7"/>
      <c r="E2186" s="56">
        <f>G2186+I2186+K2186+M2186</f>
        <v>0</v>
      </c>
      <c r="F2186" s="7"/>
      <c r="G2186" s="7"/>
      <c r="H2186" s="2"/>
      <c r="I2186" s="7"/>
      <c r="J2186" s="2"/>
      <c r="K2186" s="7"/>
      <c r="L2186" s="2"/>
      <c r="M2186" s="7"/>
    </row>
    <row r="2187" spans="1:13" ht="12.75">
      <c r="A2187" s="48" t="s">
        <v>431</v>
      </c>
      <c r="B2187" s="49"/>
      <c r="C2187" s="50"/>
      <c r="D2187" s="50"/>
      <c r="E2187" s="56">
        <f>G2187+I2187+K2187+M2187</f>
        <v>700</v>
      </c>
      <c r="F2187" s="50"/>
      <c r="G2187" s="50"/>
      <c r="H2187" s="22"/>
      <c r="I2187" s="50"/>
      <c r="J2187" s="22"/>
      <c r="K2187" s="50"/>
      <c r="L2187" s="22"/>
      <c r="M2187" s="50">
        <v>700</v>
      </c>
    </row>
    <row r="2188" spans="1:13" ht="12.75">
      <c r="A2188" s="48" t="s">
        <v>89</v>
      </c>
      <c r="B2188" s="49"/>
      <c r="C2188" s="50"/>
      <c r="D2188" s="50"/>
      <c r="E2188" s="56">
        <f>G2188+I2188+K2188+M2188</f>
        <v>158</v>
      </c>
      <c r="F2188" s="50"/>
      <c r="G2188" s="50"/>
      <c r="H2188" s="22"/>
      <c r="I2188" s="50"/>
      <c r="J2188" s="22"/>
      <c r="K2188" s="50"/>
      <c r="L2188" s="22"/>
      <c r="M2188" s="50">
        <v>158</v>
      </c>
    </row>
    <row r="2189" spans="1:13" ht="13.5" thickBot="1">
      <c r="A2189" s="48" t="s">
        <v>16</v>
      </c>
      <c r="B2189" s="49"/>
      <c r="C2189" s="50"/>
      <c r="D2189" s="50"/>
      <c r="E2189" s="56">
        <f>G2189+I2189+K2189+M2189</f>
        <v>129.824478</v>
      </c>
      <c r="F2189" s="50"/>
      <c r="G2189" s="50">
        <f>0.0089*C2136</f>
        <v>32.365206</v>
      </c>
      <c r="H2189" s="22"/>
      <c r="I2189" s="50"/>
      <c r="J2189" s="22"/>
      <c r="K2189" s="50"/>
      <c r="L2189" s="22"/>
      <c r="M2189" s="50">
        <f>0.0268*C2136</f>
        <v>97.459272</v>
      </c>
    </row>
    <row r="2190" spans="1:13" ht="13.5" thickBot="1">
      <c r="A2190" s="62" t="s">
        <v>10</v>
      </c>
      <c r="B2190" s="81"/>
      <c r="C2190" s="63"/>
      <c r="D2190" s="63"/>
      <c r="E2190" s="63">
        <f>SUM(E2185:E2189)</f>
        <v>1033.194478</v>
      </c>
      <c r="F2190" s="63"/>
      <c r="G2190" s="63">
        <f>SUM(G2185:G2189)</f>
        <v>77.735206</v>
      </c>
      <c r="H2190" s="26"/>
      <c r="I2190" s="63"/>
      <c r="J2190" s="26"/>
      <c r="K2190" s="63"/>
      <c r="L2190" s="26"/>
      <c r="M2190" s="29">
        <f>SUM(M2185:M2189)</f>
        <v>955.459272</v>
      </c>
    </row>
    <row r="2191" spans="1:13" ht="13.5" thickBot="1">
      <c r="A2191" s="64" t="s">
        <v>29</v>
      </c>
      <c r="B2191" s="81"/>
      <c r="C2191" s="63"/>
      <c r="D2191" s="63"/>
      <c r="E2191" s="63">
        <f t="shared" si="43"/>
        <v>8337.495257999999</v>
      </c>
      <c r="F2191" s="63"/>
      <c r="G2191" s="63">
        <f>0.4236*C2136</f>
        <v>1540.438344</v>
      </c>
      <c r="H2191" s="26"/>
      <c r="I2191" s="63">
        <f>0.5971*C2136</f>
        <v>2171.378034</v>
      </c>
      <c r="J2191" s="26"/>
      <c r="K2191" s="63"/>
      <c r="L2191" s="26"/>
      <c r="M2191" s="29">
        <f>1.272*C2136</f>
        <v>4625.67888</v>
      </c>
    </row>
    <row r="2192" spans="1:13" ht="21.75">
      <c r="A2192" s="65" t="s">
        <v>83</v>
      </c>
      <c r="B2192" s="61"/>
      <c r="C2192" s="56"/>
      <c r="D2192" s="56"/>
      <c r="E2192" s="56">
        <f t="shared" si="43"/>
        <v>453884.0268898</v>
      </c>
      <c r="F2192" s="56"/>
      <c r="G2192" s="56">
        <f>G2160+G2183+G2190+G2191</f>
        <v>93096.91986299999</v>
      </c>
      <c r="H2192" s="74"/>
      <c r="I2192" s="56">
        <f>I2160+I2183+I2190+I2191</f>
        <v>119425.5312242</v>
      </c>
      <c r="J2192" s="74"/>
      <c r="K2192" s="56">
        <f>K2160+K2183+K2190+K2191</f>
        <v>106315.6923206</v>
      </c>
      <c r="L2192" s="74"/>
      <c r="M2192" s="56">
        <f>M2160+M2183+M2190+M2191</f>
        <v>135045.883482</v>
      </c>
    </row>
    <row r="2193" spans="1:13" ht="33.75">
      <c r="A2193" s="67" t="s">
        <v>84</v>
      </c>
      <c r="B2193" s="46"/>
      <c r="C2193" s="7"/>
      <c r="D2193" s="7"/>
      <c r="E2193" s="8">
        <f>E2192/12/C2136</f>
        <v>10.401004500839626</v>
      </c>
      <c r="F2193" s="7"/>
      <c r="G2193" s="8">
        <f>G2192/3/C2136</f>
        <v>8.533470447458297</v>
      </c>
      <c r="H2193" s="2"/>
      <c r="I2193" s="8">
        <f>I2192/3/C2136</f>
        <v>10.946809441960399</v>
      </c>
      <c r="J2193" s="2"/>
      <c r="K2193" s="8">
        <f>K2192/3/C2136</f>
        <v>9.745132490462545</v>
      </c>
      <c r="L2193" s="2"/>
      <c r="M2193" s="8">
        <f>M2192/3/C2136</f>
        <v>12.378605623477261</v>
      </c>
    </row>
    <row r="2194" spans="1:13" ht="12.75">
      <c r="A2194" s="69" t="s">
        <v>20</v>
      </c>
      <c r="B2194" s="44"/>
      <c r="C2194" s="45"/>
      <c r="D2194" s="45"/>
      <c r="E2194" s="45">
        <f>E2141-E2192</f>
        <v>3015.413110200083</v>
      </c>
      <c r="F2194" s="45"/>
      <c r="G2194" s="7">
        <f>G2141-G2192</f>
        <v>6643.880137000015</v>
      </c>
      <c r="H2194" s="2"/>
      <c r="I2194" s="7">
        <f>I2141-I2192+G2194</f>
        <v>5867.1189128000115</v>
      </c>
      <c r="J2194" s="2"/>
      <c r="K2194" s="7">
        <f>K2141-K2192+I2194</f>
        <v>15477.636592200011</v>
      </c>
      <c r="L2194" s="2"/>
      <c r="M2194" s="7">
        <f>M2141-M2192+K2194</f>
        <v>3015.41311020001</v>
      </c>
    </row>
    <row r="2195" spans="1:13" ht="12.75">
      <c r="A2195" s="14" t="s">
        <v>24</v>
      </c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</row>
    <row r="2196" spans="1:13" ht="12.75">
      <c r="A2196" s="14" t="s">
        <v>35</v>
      </c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</row>
    <row r="2197" spans="1:13" ht="12.75">
      <c r="A2197" s="14" t="s">
        <v>25</v>
      </c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</row>
    <row r="2198" spans="1:13" ht="12.75">
      <c r="A2198" s="14"/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</row>
    <row r="2199" spans="1:13" ht="12.75">
      <c r="A2199" s="14"/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</row>
    <row r="2200" spans="1:13" ht="12.75">
      <c r="A2200" s="14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</row>
    <row r="2201" spans="1:13" ht="12.75">
      <c r="A2201" s="14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</row>
    <row r="2202" spans="1:13" ht="12.75">
      <c r="A2202" s="14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</row>
    <row r="2203" spans="1:13" ht="12.75">
      <c r="A2203" s="14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</row>
    <row r="2204" spans="1:13" ht="12.75">
      <c r="A2204" s="14"/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</row>
    <row r="2205" spans="1:13" ht="12.75">
      <c r="A2205" s="14"/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</row>
    <row r="2206" spans="1:13" ht="12.75">
      <c r="A2206" s="14"/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</row>
    <row r="2207" spans="1:13" ht="12.75">
      <c r="A2207" s="14"/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</row>
    <row r="2208" spans="1:13" ht="12.75">
      <c r="A2208" s="14"/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</row>
    <row r="2209" spans="1:13" ht="12.75">
      <c r="A2209" s="14"/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</row>
    <row r="2210" spans="1:13" ht="12.75">
      <c r="A2210" s="14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</row>
    <row r="2211" spans="1:13" ht="12.75">
      <c r="A2211" s="14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</row>
    <row r="2212" spans="1:13" ht="12.75">
      <c r="A2212" s="14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</row>
    <row r="2213" spans="1:13" ht="0.75" customHeight="1">
      <c r="A2213" s="14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</row>
    <row r="2214" spans="1:13" ht="12.75" hidden="1">
      <c r="A2214" s="14"/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</row>
    <row r="2215" spans="1:13" ht="12" customHeight="1" hidden="1">
      <c r="A2215" s="14"/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</row>
    <row r="2216" spans="1:13" ht="12.75" hidden="1">
      <c r="A2216" s="14"/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</row>
    <row r="2217" spans="1:13" ht="12.75" hidden="1">
      <c r="A2217" s="14"/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</row>
    <row r="2218" spans="1:13" ht="12.75" hidden="1">
      <c r="A2218" s="14"/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</row>
    <row r="2219" spans="1:13" ht="12.75" hidden="1">
      <c r="A2219" s="14"/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</row>
    <row r="2220" spans="1:13" ht="12.75" hidden="1">
      <c r="A2220" s="14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</row>
    <row r="2221" spans="1:13" ht="12.75">
      <c r="A2221" s="31" t="s">
        <v>21</v>
      </c>
      <c r="B2221" s="31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</row>
    <row r="2222" spans="1:13" ht="12.75">
      <c r="A2222" s="14" t="s">
        <v>31</v>
      </c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</row>
    <row r="2223" spans="1:13" ht="12.75">
      <c r="A2223" s="14" t="s">
        <v>41</v>
      </c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</row>
    <row r="2224" spans="1:13" ht="12.75">
      <c r="A2224" s="14" t="s">
        <v>124</v>
      </c>
      <c r="B2224" s="14"/>
      <c r="C2224" s="14"/>
      <c r="D2224" s="14"/>
      <c r="E2224" s="14" t="s">
        <v>32</v>
      </c>
      <c r="F2224" s="14"/>
      <c r="G2224" s="14"/>
      <c r="H2224" s="14"/>
      <c r="I2224" s="14"/>
      <c r="J2224" s="14"/>
      <c r="K2224" s="14"/>
      <c r="L2224" s="14"/>
      <c r="M2224" s="14"/>
    </row>
    <row r="2225" spans="1:13" ht="12.75" customHeight="1">
      <c r="A2225" s="6" t="s">
        <v>0</v>
      </c>
      <c r="B2225" s="151" t="s">
        <v>38</v>
      </c>
      <c r="C2225" s="152"/>
      <c r="D2225" s="149" t="s">
        <v>39</v>
      </c>
      <c r="E2225" s="150"/>
      <c r="F2225" s="149" t="s">
        <v>96</v>
      </c>
      <c r="G2225" s="150"/>
      <c r="H2225" s="149" t="s">
        <v>97</v>
      </c>
      <c r="I2225" s="150"/>
      <c r="J2225" s="149" t="s">
        <v>98</v>
      </c>
      <c r="K2225" s="150"/>
      <c r="L2225" s="149" t="s">
        <v>99</v>
      </c>
      <c r="M2225" s="150"/>
    </row>
    <row r="2226" spans="1:13" ht="12.75">
      <c r="A2226" s="11" t="s">
        <v>5</v>
      </c>
      <c r="B2226" s="153"/>
      <c r="C2226" s="154"/>
      <c r="D2226" s="6" t="s">
        <v>40</v>
      </c>
      <c r="E2226" s="6" t="s">
        <v>22</v>
      </c>
      <c r="F2226" s="6" t="s">
        <v>40</v>
      </c>
      <c r="G2226" s="13" t="s">
        <v>22</v>
      </c>
      <c r="H2226" s="2"/>
      <c r="I2226" s="2"/>
      <c r="J2226" s="2"/>
      <c r="K2226" s="2"/>
      <c r="L2226" s="2"/>
      <c r="M2226" s="2"/>
    </row>
    <row r="2227" spans="1:13" ht="12.75">
      <c r="A2227" s="2" t="s">
        <v>1</v>
      </c>
      <c r="B2227" s="2"/>
      <c r="C2227" s="6">
        <v>5</v>
      </c>
      <c r="D2227" s="2"/>
      <c r="E2227" s="2"/>
      <c r="F2227" s="2"/>
      <c r="G2227" s="2"/>
      <c r="H2227" s="2"/>
      <c r="I2227" s="2"/>
      <c r="J2227" s="2"/>
      <c r="K2227" s="2"/>
      <c r="L2227" s="2"/>
      <c r="M2227" s="2"/>
    </row>
    <row r="2228" spans="1:13" ht="12.75">
      <c r="A2228" s="2" t="s">
        <v>2</v>
      </c>
      <c r="B2228" s="2"/>
      <c r="C2228" s="6">
        <v>6</v>
      </c>
      <c r="D2228" s="2"/>
      <c r="E2228" s="2"/>
      <c r="F2228" s="2"/>
      <c r="G2228" s="2"/>
      <c r="H2228" s="2"/>
      <c r="I2228" s="2"/>
      <c r="J2228" s="2"/>
      <c r="K2228" s="2"/>
      <c r="L2228" s="2"/>
      <c r="M2228" s="2"/>
    </row>
    <row r="2229" spans="1:13" ht="12.75">
      <c r="A2229" s="2" t="s">
        <v>3</v>
      </c>
      <c r="B2229" s="2"/>
      <c r="C2229" s="6">
        <v>61</v>
      </c>
      <c r="D2229" s="2"/>
      <c r="E2229" s="2"/>
      <c r="F2229" s="2"/>
      <c r="G2229" s="2"/>
      <c r="H2229" s="2"/>
      <c r="I2229" s="2"/>
      <c r="J2229" s="2"/>
      <c r="K2229" s="2"/>
      <c r="L2229" s="2"/>
      <c r="M2229" s="2"/>
    </row>
    <row r="2230" spans="1:13" ht="12.75">
      <c r="A2230" s="2" t="s">
        <v>4</v>
      </c>
      <c r="B2230" s="6"/>
      <c r="C2230" s="6">
        <v>3621.21</v>
      </c>
      <c r="D2230" s="6"/>
      <c r="E2230" s="6"/>
      <c r="F2230" s="6"/>
      <c r="G2230" s="2"/>
      <c r="H2230" s="2"/>
      <c r="I2230" s="2"/>
      <c r="J2230" s="2"/>
      <c r="K2230" s="2">
        <v>3678.34</v>
      </c>
      <c r="L2230" s="2"/>
      <c r="M2230" s="2"/>
    </row>
    <row r="2231" spans="1:13" ht="21.75">
      <c r="A2231" s="35" t="s">
        <v>6</v>
      </c>
      <c r="B2231" s="11" t="s">
        <v>40</v>
      </c>
      <c r="C2231" s="2" t="s">
        <v>22</v>
      </c>
      <c r="D2231" s="2"/>
      <c r="E2231" s="2"/>
      <c r="F2231" s="2"/>
      <c r="G2231" s="2"/>
      <c r="H2231" s="2"/>
      <c r="I2231" s="2"/>
      <c r="J2231" s="2"/>
      <c r="K2231" s="2"/>
      <c r="L2231" s="2"/>
      <c r="M2231" s="2"/>
    </row>
    <row r="2232" spans="1:13" ht="22.5">
      <c r="A2232" s="40" t="s">
        <v>7</v>
      </c>
      <c r="B2232" s="3"/>
      <c r="C2232" s="6"/>
      <c r="D2232" s="6"/>
      <c r="E2232" s="6">
        <f>G2232+I2232+K2232+M2232</f>
        <v>368540.58</v>
      </c>
      <c r="F2232" s="2"/>
      <c r="G2232" s="2">
        <v>91415.54</v>
      </c>
      <c r="H2232" s="2"/>
      <c r="I2232" s="4">
        <v>103443.3</v>
      </c>
      <c r="J2232" s="2"/>
      <c r="K2232" s="2">
        <v>98506.78</v>
      </c>
      <c r="L2232" s="2"/>
      <c r="M2232" s="2">
        <v>75174.96</v>
      </c>
    </row>
    <row r="2233" spans="1:13" ht="12.75">
      <c r="A2233" s="41" t="s">
        <v>8</v>
      </c>
      <c r="B2233" s="3"/>
      <c r="C2233" s="6"/>
      <c r="D2233" s="6"/>
      <c r="E2233" s="6">
        <f>G2233+I2233+K2233+M2233</f>
        <v>72910.76</v>
      </c>
      <c r="F2233" s="2"/>
      <c r="G2233" s="2"/>
      <c r="H2233" s="2"/>
      <c r="I2233" s="2">
        <v>20155.38</v>
      </c>
      <c r="J2233" s="2"/>
      <c r="K2233" s="2">
        <v>52755.38</v>
      </c>
      <c r="L2233" s="2"/>
      <c r="M2233" s="2"/>
    </row>
    <row r="2234" spans="1:13" ht="13.5" thickBot="1">
      <c r="A2234" s="41" t="s">
        <v>9</v>
      </c>
      <c r="B2234" s="3"/>
      <c r="C2234" s="6"/>
      <c r="D2234" s="6"/>
      <c r="E2234" s="6"/>
      <c r="F2234" s="2"/>
      <c r="G2234" s="22"/>
      <c r="H2234" s="2"/>
      <c r="I2234" s="2"/>
      <c r="J2234" s="2"/>
      <c r="K2234" s="2"/>
      <c r="L2234" s="2"/>
      <c r="M2234" s="2"/>
    </row>
    <row r="2235" spans="1:13" ht="13.5" thickBot="1">
      <c r="A2235" s="2" t="s">
        <v>10</v>
      </c>
      <c r="B2235" s="42"/>
      <c r="C2235" s="11"/>
      <c r="D2235" s="11"/>
      <c r="E2235" s="11">
        <f>SUM(E2232:E2234)</f>
        <v>441451.34</v>
      </c>
      <c r="F2235" s="110"/>
      <c r="G2235" s="112">
        <f>SUM(G2232:G2234)</f>
        <v>91415.54</v>
      </c>
      <c r="H2235" s="111"/>
      <c r="I2235" s="2">
        <f>SUM(I2232:I2234)</f>
        <v>123598.68000000001</v>
      </c>
      <c r="J2235" s="2"/>
      <c r="K2235" s="2">
        <f>SUM(K2232:K2234)</f>
        <v>151262.16</v>
      </c>
      <c r="L2235" s="2"/>
      <c r="M2235" s="2">
        <f>SUM(M2232:M2234)</f>
        <v>75174.96</v>
      </c>
    </row>
    <row r="2236" spans="1:13" ht="21.75">
      <c r="A2236" s="35" t="s">
        <v>82</v>
      </c>
      <c r="B2236" s="42"/>
      <c r="C2236" s="2"/>
      <c r="D2236" s="2"/>
      <c r="E2236" s="2"/>
      <c r="F2236" s="2"/>
      <c r="G2236" s="74"/>
      <c r="H2236" s="2"/>
      <c r="I2236" s="2"/>
      <c r="J2236" s="2"/>
      <c r="K2236" s="2"/>
      <c r="L2236" s="2"/>
      <c r="M2236" s="2"/>
    </row>
    <row r="2237" spans="1:13" ht="12.75">
      <c r="A2237" s="43" t="s">
        <v>11</v>
      </c>
      <c r="B2237" s="44"/>
      <c r="C2237" s="45"/>
      <c r="D2237" s="45"/>
      <c r="E2237" s="45">
        <f>G2237+I2237+K2237+M2237</f>
        <v>118983.97940580001</v>
      </c>
      <c r="F2237" s="45"/>
      <c r="G2237" s="45">
        <f>7.99407*C2230</f>
        <v>28948.2062247</v>
      </c>
      <c r="H2237" s="2"/>
      <c r="I2237" s="7">
        <f>9.57707*C2230</f>
        <v>34680.58165470001</v>
      </c>
      <c r="J2237" s="2"/>
      <c r="K2237" s="7">
        <f>7.32829*K2230</f>
        <v>26955.9422386</v>
      </c>
      <c r="L2237" s="2"/>
      <c r="M2237" s="7">
        <f>7.72067*K2230</f>
        <v>28399.2492878</v>
      </c>
    </row>
    <row r="2238" spans="1:13" ht="12.75">
      <c r="A2238" s="43" t="s">
        <v>12</v>
      </c>
      <c r="B2238" s="46"/>
      <c r="C2238" s="7"/>
      <c r="D2238" s="7"/>
      <c r="E2238" s="7">
        <f aca="true" t="shared" si="44" ref="E2238:E2284">G2238+I2238+K2238+M2238</f>
        <v>0</v>
      </c>
      <c r="F2238" s="7"/>
      <c r="G2238" s="7"/>
      <c r="H2238" s="2"/>
      <c r="I2238" s="7"/>
      <c r="J2238" s="2"/>
      <c r="K2238" s="7"/>
      <c r="L2238" s="2"/>
      <c r="M2238" s="7"/>
    </row>
    <row r="2239" spans="1:13" ht="12.75">
      <c r="A2239" s="41" t="s">
        <v>13</v>
      </c>
      <c r="B2239" s="46"/>
      <c r="C2239" s="7"/>
      <c r="D2239" s="7"/>
      <c r="E2239" s="7">
        <f t="shared" si="44"/>
        <v>158818.5639736</v>
      </c>
      <c r="F2239" s="7"/>
      <c r="G2239" s="7">
        <f>G2240+G2242+G2243+G2244+G2246+G2247+G2248+G2249+G2250+G2251+G2252</f>
        <v>36144.662885699996</v>
      </c>
      <c r="H2239" s="2"/>
      <c r="I2239" s="7">
        <f>I2240+I2242+I2243+I2244+I2246+I2247+I2248+I2249+I2250+I2251+I2252</f>
        <v>42384.3185779</v>
      </c>
      <c r="J2239" s="2"/>
      <c r="K2239" s="7">
        <f>K2240+K2242+K2243+K2244+K2245+K2246+K2247+K2248+K2249+K2250+K2251+K2252</f>
        <v>48942.48925</v>
      </c>
      <c r="L2239" s="2"/>
      <c r="M2239" s="7">
        <f>M2240+M2242+M2243+M2244+M2245+M2246+M2247+M2248+M2249+M2250+M2251+M2252</f>
        <v>31347.09326</v>
      </c>
    </row>
    <row r="2240" spans="1:13" ht="12.75">
      <c r="A2240" s="47" t="s">
        <v>14</v>
      </c>
      <c r="B2240" s="46"/>
      <c r="C2240" s="71"/>
      <c r="D2240" s="7"/>
      <c r="E2240" s="7">
        <f t="shared" si="44"/>
        <v>130751</v>
      </c>
      <c r="F2240" s="7"/>
      <c r="G2240" s="7">
        <v>33693</v>
      </c>
      <c r="H2240" s="2"/>
      <c r="I2240" s="7">
        <v>32622</v>
      </c>
      <c r="J2240" s="2"/>
      <c r="K2240" s="7">
        <v>34404</v>
      </c>
      <c r="L2240" s="2"/>
      <c r="M2240" s="7">
        <v>30032</v>
      </c>
    </row>
    <row r="2241" spans="1:13" ht="12.75">
      <c r="A2241" s="41" t="s">
        <v>19</v>
      </c>
      <c r="B2241" s="46"/>
      <c r="C2241" s="71"/>
      <c r="D2241" s="7"/>
      <c r="E2241" s="7">
        <f t="shared" si="44"/>
        <v>86434</v>
      </c>
      <c r="F2241" s="7"/>
      <c r="G2241" s="7">
        <f>21619</f>
        <v>21619</v>
      </c>
      <c r="H2241" s="2"/>
      <c r="I2241" s="7">
        <v>21619</v>
      </c>
      <c r="J2241" s="2"/>
      <c r="K2241" s="7">
        <v>21598</v>
      </c>
      <c r="L2241" s="2"/>
      <c r="M2241" s="7">
        <v>21598</v>
      </c>
    </row>
    <row r="2242" spans="1:13" ht="12.75">
      <c r="A2242" s="41" t="s">
        <v>18</v>
      </c>
      <c r="B2242" s="46"/>
      <c r="C2242" s="7"/>
      <c r="D2242" s="7"/>
      <c r="E2242" s="7">
        <f>G2242+I2242+K2243+M2242</f>
        <v>5047.42</v>
      </c>
      <c r="F2242" s="7"/>
      <c r="G2242" s="7">
        <v>211.2</v>
      </c>
      <c r="H2242" s="2"/>
      <c r="I2242" s="7">
        <v>297.25</v>
      </c>
      <c r="J2242" s="2"/>
      <c r="K2242" s="132">
        <v>402.51</v>
      </c>
      <c r="L2242" s="2"/>
      <c r="M2242" s="7">
        <v>435.97</v>
      </c>
    </row>
    <row r="2243" spans="1:13" ht="12.75">
      <c r="A2243" s="41" t="s">
        <v>53</v>
      </c>
      <c r="B2243" s="46"/>
      <c r="C2243" s="7"/>
      <c r="D2243" s="7"/>
      <c r="E2243" s="7">
        <f>G2243+I2243+K2244+M2243</f>
        <v>4786.626122600001</v>
      </c>
      <c r="F2243" s="7"/>
      <c r="G2243" s="7">
        <f>0.54857*C2230</f>
        <v>1986.4871697</v>
      </c>
      <c r="H2243" s="2"/>
      <c r="I2243" s="7">
        <f>0.53049*C2230</f>
        <v>1921.0156929</v>
      </c>
      <c r="J2243" s="2"/>
      <c r="K2243" s="7">
        <v>4103</v>
      </c>
      <c r="L2243" s="2"/>
      <c r="M2243" s="7">
        <f>0.239*K2230</f>
        <v>879.12326</v>
      </c>
    </row>
    <row r="2244" spans="1:13" ht="12.75">
      <c r="A2244" s="41" t="s">
        <v>148</v>
      </c>
      <c r="B2244" s="46"/>
      <c r="C2244" s="7"/>
      <c r="D2244" s="7"/>
      <c r="E2244" s="7">
        <f t="shared" si="44"/>
        <v>183</v>
      </c>
      <c r="F2244" s="7"/>
      <c r="G2244" s="7">
        <v>183</v>
      </c>
      <c r="H2244" s="2"/>
      <c r="I2244" s="7"/>
      <c r="J2244" s="2"/>
      <c r="K2244" s="7"/>
      <c r="L2244" s="2"/>
      <c r="M2244" s="7"/>
    </row>
    <row r="2245" spans="1:13" ht="12.75">
      <c r="A2245" s="41" t="s">
        <v>248</v>
      </c>
      <c r="B2245" s="46"/>
      <c r="C2245" s="7"/>
      <c r="D2245" s="7"/>
      <c r="E2245" s="7"/>
      <c r="F2245" s="7"/>
      <c r="G2245" s="7"/>
      <c r="H2245" s="2"/>
      <c r="I2245" s="7"/>
      <c r="J2245" s="2"/>
      <c r="K2245" s="7">
        <v>1395</v>
      </c>
      <c r="L2245" s="2"/>
      <c r="M2245" s="7"/>
    </row>
    <row r="2246" spans="1:13" ht="12.75">
      <c r="A2246" s="41" t="s">
        <v>27</v>
      </c>
      <c r="B2246" s="46"/>
      <c r="C2246" s="7"/>
      <c r="D2246" s="7"/>
      <c r="E2246" s="7">
        <f t="shared" si="44"/>
        <v>1091</v>
      </c>
      <c r="F2246" s="7"/>
      <c r="G2246" s="7"/>
      <c r="H2246" s="2"/>
      <c r="I2246" s="7">
        <v>1091</v>
      </c>
      <c r="J2246" s="2"/>
      <c r="K2246" s="7"/>
      <c r="L2246" s="2"/>
      <c r="M2246" s="7"/>
    </row>
    <row r="2247" spans="1:13" ht="12.75">
      <c r="A2247" s="41" t="s">
        <v>36</v>
      </c>
      <c r="B2247" s="46"/>
      <c r="C2247" s="7"/>
      <c r="D2247" s="7"/>
      <c r="E2247" s="7">
        <f t="shared" si="44"/>
        <v>4642</v>
      </c>
      <c r="F2247" s="7"/>
      <c r="G2247" s="7"/>
      <c r="H2247" s="2"/>
      <c r="I2247" s="7"/>
      <c r="J2247" s="2" t="s">
        <v>327</v>
      </c>
      <c r="K2247" s="7">
        <v>4642</v>
      </c>
      <c r="L2247" s="2"/>
      <c r="M2247" s="7"/>
    </row>
    <row r="2248" spans="1:13" ht="12.75">
      <c r="A2248" s="41" t="s">
        <v>58</v>
      </c>
      <c r="B2248" s="46"/>
      <c r="C2248" s="7"/>
      <c r="D2248" s="7"/>
      <c r="E2248" s="7">
        <f t="shared" si="44"/>
        <v>0</v>
      </c>
      <c r="F2248" s="7"/>
      <c r="G2248" s="7"/>
      <c r="H2248" s="2"/>
      <c r="I2248" s="7"/>
      <c r="J2248" s="2"/>
      <c r="K2248" s="7"/>
      <c r="L2248" s="2"/>
      <c r="M2248" s="7"/>
    </row>
    <row r="2249" spans="1:13" ht="12.75">
      <c r="A2249" s="41" t="s">
        <v>43</v>
      </c>
      <c r="B2249" s="46"/>
      <c r="C2249" s="7"/>
      <c r="D2249" s="7"/>
      <c r="E2249" s="7">
        <f t="shared" si="44"/>
        <v>0</v>
      </c>
      <c r="F2249" s="7"/>
      <c r="G2249" s="7"/>
      <c r="H2249" s="2"/>
      <c r="I2249" s="7"/>
      <c r="J2249" s="2"/>
      <c r="K2249" s="7"/>
      <c r="L2249" s="2"/>
      <c r="M2249" s="7"/>
    </row>
    <row r="2250" spans="1:13" ht="12.75">
      <c r="A2250" s="41" t="s">
        <v>348</v>
      </c>
      <c r="B2250" s="46"/>
      <c r="C2250" s="7"/>
      <c r="D2250" s="7"/>
      <c r="E2250" s="7">
        <f t="shared" si="44"/>
        <v>10155</v>
      </c>
      <c r="F2250" s="7"/>
      <c r="G2250" s="7"/>
      <c r="H2250" s="2"/>
      <c r="I2250" s="7">
        <v>6205</v>
      </c>
      <c r="J2250" s="2"/>
      <c r="K2250" s="7">
        <v>3950</v>
      </c>
      <c r="L2250" s="2"/>
      <c r="M2250" s="7"/>
    </row>
    <row r="2251" spans="1:13" ht="12.75">
      <c r="A2251" s="41" t="s">
        <v>54</v>
      </c>
      <c r="B2251" s="46"/>
      <c r="C2251" s="7"/>
      <c r="D2251" s="7"/>
      <c r="E2251" s="7">
        <f t="shared" si="44"/>
        <v>70.97571599999999</v>
      </c>
      <c r="F2251" s="7"/>
      <c r="G2251" s="7">
        <f>0.0196*C2230</f>
        <v>70.97571599999999</v>
      </c>
      <c r="H2251" s="2"/>
      <c r="I2251" s="7"/>
      <c r="J2251" s="2"/>
      <c r="K2251" s="7"/>
      <c r="L2251" s="2"/>
      <c r="M2251" s="7"/>
    </row>
    <row r="2252" spans="1:13" ht="13.5" thickBot="1">
      <c r="A2252" s="48" t="s">
        <v>55</v>
      </c>
      <c r="B2252" s="49"/>
      <c r="C2252" s="50"/>
      <c r="D2252" s="50"/>
      <c r="E2252" s="50">
        <f t="shared" si="44"/>
        <v>294.03213500000004</v>
      </c>
      <c r="F2252" s="50"/>
      <c r="G2252" s="50"/>
      <c r="H2252" s="22"/>
      <c r="I2252" s="50">
        <f>0.0685*C2230</f>
        <v>248.05288500000003</v>
      </c>
      <c r="J2252" s="22"/>
      <c r="K2252" s="50">
        <f>0.0125*K2230</f>
        <v>45.97925000000001</v>
      </c>
      <c r="L2252" s="22"/>
      <c r="M2252" s="50"/>
    </row>
    <row r="2253" spans="1:13" ht="13.5" thickBot="1">
      <c r="A2253" s="51" t="s">
        <v>76</v>
      </c>
      <c r="B2253" s="81"/>
      <c r="C2253" s="63"/>
      <c r="D2253" s="63"/>
      <c r="E2253" s="63">
        <f t="shared" si="44"/>
        <v>277802.5433794</v>
      </c>
      <c r="F2253" s="63"/>
      <c r="G2253" s="63">
        <f>G2237+G2239</f>
        <v>65092.869110399995</v>
      </c>
      <c r="H2253" s="26"/>
      <c r="I2253" s="63">
        <f>I2237+I2239</f>
        <v>77064.9002326</v>
      </c>
      <c r="J2253" s="26"/>
      <c r="K2253" s="63">
        <f>K2237+K2239</f>
        <v>75898.4314886</v>
      </c>
      <c r="L2253" s="26"/>
      <c r="M2253" s="29">
        <f>M2237+M2239</f>
        <v>59746.3425478</v>
      </c>
    </row>
    <row r="2254" spans="1:13" ht="13.5" customHeight="1">
      <c r="A2254" s="54" t="s">
        <v>15</v>
      </c>
      <c r="B2254" s="55"/>
      <c r="C2254" s="66"/>
      <c r="D2254" s="66"/>
      <c r="E2254" s="56">
        <f t="shared" si="44"/>
        <v>0</v>
      </c>
      <c r="F2254" s="66"/>
      <c r="G2254" s="56"/>
      <c r="H2254" s="74"/>
      <c r="I2254" s="56"/>
      <c r="J2254" s="74"/>
      <c r="K2254" s="56"/>
      <c r="L2254" s="74"/>
      <c r="M2254" s="56"/>
    </row>
    <row r="2255" spans="1:13" ht="12.75">
      <c r="A2255" s="41" t="s">
        <v>17</v>
      </c>
      <c r="B2255" s="46"/>
      <c r="C2255" s="7"/>
      <c r="D2255" s="7"/>
      <c r="E2255" s="7">
        <f t="shared" si="44"/>
        <v>103206.386947</v>
      </c>
      <c r="F2255" s="7"/>
      <c r="G2255" s="7">
        <f>6.73321*C2230</f>
        <v>24382.367384099998</v>
      </c>
      <c r="H2255" s="2"/>
      <c r="I2255" s="7">
        <f>7.02207*C2230</f>
        <v>25428.3901047</v>
      </c>
      <c r="J2255" s="2"/>
      <c r="K2255" s="7">
        <f>7.2754*K2230</f>
        <v>26761.394836000003</v>
      </c>
      <c r="L2255" s="2"/>
      <c r="M2255" s="7">
        <f>7.24083*K2230</f>
        <v>26634.2346222</v>
      </c>
    </row>
    <row r="2256" spans="1:13" ht="12.75">
      <c r="A2256" s="41" t="s">
        <v>34</v>
      </c>
      <c r="B2256" s="46"/>
      <c r="C2256" s="71"/>
      <c r="D2256" s="7"/>
      <c r="E2256" s="7">
        <f t="shared" si="44"/>
        <v>0</v>
      </c>
      <c r="F2256" s="7"/>
      <c r="G2256" s="7"/>
      <c r="H2256" s="2"/>
      <c r="I2256" s="7"/>
      <c r="J2256" s="2"/>
      <c r="K2256" s="7"/>
      <c r="L2256" s="2"/>
      <c r="M2256" s="7"/>
    </row>
    <row r="2257" spans="1:13" ht="12.75">
      <c r="A2257" s="41" t="s">
        <v>67</v>
      </c>
      <c r="B2257" s="46"/>
      <c r="C2257" s="7"/>
      <c r="D2257" s="7"/>
      <c r="E2257" s="7">
        <f t="shared" si="44"/>
        <v>3824.75</v>
      </c>
      <c r="F2257" s="7"/>
      <c r="G2257" s="7"/>
      <c r="H2257" s="2"/>
      <c r="I2257" s="7"/>
      <c r="J2257" s="2"/>
      <c r="K2257" s="7">
        <v>570</v>
      </c>
      <c r="L2257" s="2"/>
      <c r="M2257" s="7">
        <v>3254.75</v>
      </c>
    </row>
    <row r="2258" spans="1:13" ht="12.75">
      <c r="A2258" s="41" t="s">
        <v>68</v>
      </c>
      <c r="B2258" s="46"/>
      <c r="C2258" s="7"/>
      <c r="D2258" s="7"/>
      <c r="E2258" s="7">
        <f t="shared" si="44"/>
        <v>0</v>
      </c>
      <c r="F2258" s="7"/>
      <c r="G2258" s="7"/>
      <c r="H2258" s="2"/>
      <c r="I2258" s="7"/>
      <c r="J2258" s="2"/>
      <c r="K2258" s="7"/>
      <c r="L2258" s="2"/>
      <c r="M2258" s="7"/>
    </row>
    <row r="2259" spans="1:13" ht="12.75">
      <c r="A2259" s="41" t="s">
        <v>69</v>
      </c>
      <c r="B2259" s="46"/>
      <c r="C2259" s="7"/>
      <c r="D2259" s="7"/>
      <c r="E2259" s="7">
        <f t="shared" si="44"/>
        <v>0</v>
      </c>
      <c r="F2259" s="7"/>
      <c r="G2259" s="7"/>
      <c r="H2259" s="2"/>
      <c r="I2259" s="7"/>
      <c r="J2259" s="2"/>
      <c r="K2259" s="7"/>
      <c r="L2259" s="2"/>
      <c r="M2259" s="7"/>
    </row>
    <row r="2260" spans="1:13" ht="12.75">
      <c r="A2260" s="41" t="s">
        <v>26</v>
      </c>
      <c r="B2260" s="46"/>
      <c r="C2260" s="7"/>
      <c r="D2260" s="7"/>
      <c r="E2260" s="7">
        <f t="shared" si="44"/>
        <v>2039</v>
      </c>
      <c r="F2260" s="7"/>
      <c r="G2260" s="7"/>
      <c r="H2260" s="2"/>
      <c r="I2260" s="7"/>
      <c r="J2260" s="2"/>
      <c r="K2260" s="7">
        <v>1350</v>
      </c>
      <c r="L2260" s="2"/>
      <c r="M2260" s="7">
        <v>689</v>
      </c>
    </row>
    <row r="2261" spans="1:13" ht="12.75">
      <c r="A2261" s="41" t="s">
        <v>28</v>
      </c>
      <c r="B2261" s="46"/>
      <c r="C2261" s="7"/>
      <c r="D2261" s="7"/>
      <c r="E2261" s="7">
        <f t="shared" si="44"/>
        <v>817.5</v>
      </c>
      <c r="F2261" s="7"/>
      <c r="G2261" s="7">
        <v>507.5</v>
      </c>
      <c r="H2261" s="2"/>
      <c r="I2261" s="7"/>
      <c r="J2261" s="2"/>
      <c r="K2261" s="7"/>
      <c r="L2261" s="2"/>
      <c r="M2261" s="7">
        <v>310</v>
      </c>
    </row>
    <row r="2262" spans="1:13" ht="12.75">
      <c r="A2262" s="41" t="s">
        <v>291</v>
      </c>
      <c r="B2262" s="46"/>
      <c r="C2262" s="7"/>
      <c r="D2262" s="7"/>
      <c r="E2262" s="7"/>
      <c r="F2262" s="7"/>
      <c r="G2262" s="7"/>
      <c r="H2262" s="2"/>
      <c r="I2262" s="7"/>
      <c r="J2262" s="2"/>
      <c r="K2262" s="7">
        <v>750</v>
      </c>
      <c r="L2262" s="2"/>
      <c r="M2262" s="7"/>
    </row>
    <row r="2263" spans="1:13" ht="12.75">
      <c r="A2263" s="41" t="s">
        <v>163</v>
      </c>
      <c r="B2263" s="46"/>
      <c r="C2263" s="7"/>
      <c r="D2263" s="7"/>
      <c r="E2263" s="7">
        <f t="shared" si="44"/>
        <v>3360</v>
      </c>
      <c r="F2263" s="7"/>
      <c r="G2263" s="7"/>
      <c r="H2263" s="2"/>
      <c r="I2263" s="7"/>
      <c r="J2263" s="2"/>
      <c r="K2263" s="7">
        <v>3360</v>
      </c>
      <c r="L2263" s="2"/>
      <c r="M2263" s="7"/>
    </row>
    <row r="2264" spans="1:13" ht="12.75">
      <c r="A2264" s="41" t="s">
        <v>255</v>
      </c>
      <c r="B2264" s="46"/>
      <c r="C2264" s="7"/>
      <c r="D2264" s="7"/>
      <c r="E2264" s="7">
        <f t="shared" si="44"/>
        <v>24609</v>
      </c>
      <c r="F2264" s="7"/>
      <c r="G2264" s="7"/>
      <c r="H2264" s="2"/>
      <c r="I2264" s="7">
        <v>24609</v>
      </c>
      <c r="J2264" s="2"/>
      <c r="K2264" s="7"/>
      <c r="L2264" s="2"/>
      <c r="M2264" s="7"/>
    </row>
    <row r="2265" spans="1:13" ht="12.75">
      <c r="A2265" s="41" t="s">
        <v>62</v>
      </c>
      <c r="B2265" s="46"/>
      <c r="C2265" s="7"/>
      <c r="D2265" s="7"/>
      <c r="E2265" s="7">
        <f t="shared" si="44"/>
        <v>0</v>
      </c>
      <c r="F2265" s="7"/>
      <c r="G2265" s="7"/>
      <c r="H2265" s="2"/>
      <c r="I2265" s="7"/>
      <c r="J2265" s="2"/>
      <c r="K2265" s="7"/>
      <c r="L2265" s="2"/>
      <c r="M2265" s="7"/>
    </row>
    <row r="2266" spans="1:13" ht="12.75">
      <c r="A2266" s="41" t="s">
        <v>342</v>
      </c>
      <c r="B2266" s="46"/>
      <c r="C2266" s="7"/>
      <c r="D2266" s="7"/>
      <c r="E2266" s="7">
        <f t="shared" si="44"/>
        <v>579</v>
      </c>
      <c r="F2266" s="7"/>
      <c r="G2266" s="7"/>
      <c r="H2266" s="2"/>
      <c r="I2266" s="7"/>
      <c r="J2266" s="2"/>
      <c r="K2266" s="7">
        <v>579</v>
      </c>
      <c r="L2266" s="2"/>
      <c r="M2266" s="7"/>
    </row>
    <row r="2267" spans="1:13" ht="12.75">
      <c r="A2267" s="41" t="s">
        <v>349</v>
      </c>
      <c r="B2267" s="46"/>
      <c r="C2267" s="7"/>
      <c r="D2267" s="7"/>
      <c r="E2267" s="7">
        <f t="shared" si="44"/>
        <v>31200</v>
      </c>
      <c r="F2267" s="7"/>
      <c r="G2267" s="7"/>
      <c r="H2267" s="2"/>
      <c r="I2267" s="7">
        <v>15600</v>
      </c>
      <c r="J2267" s="2"/>
      <c r="K2267" s="7">
        <v>15600</v>
      </c>
      <c r="L2267" s="2"/>
      <c r="M2267" s="7"/>
    </row>
    <row r="2268" spans="1:13" ht="12.75">
      <c r="A2268" s="41" t="s">
        <v>51</v>
      </c>
      <c r="B2268" s="46"/>
      <c r="C2268" s="7"/>
      <c r="D2268" s="7"/>
      <c r="E2268" s="7">
        <f t="shared" si="44"/>
        <v>2576.35</v>
      </c>
      <c r="F2268" s="7"/>
      <c r="G2268" s="7"/>
      <c r="H2268" s="2"/>
      <c r="I2268" s="7">
        <v>2576.35</v>
      </c>
      <c r="J2268" s="2"/>
      <c r="K2268" s="7"/>
      <c r="L2268" s="2"/>
      <c r="M2268" s="7"/>
    </row>
    <row r="2269" spans="1:13" ht="12.75">
      <c r="A2269" s="58" t="s">
        <v>52</v>
      </c>
      <c r="B2269" s="46"/>
      <c r="C2269" s="7"/>
      <c r="D2269" s="7"/>
      <c r="E2269" s="7">
        <f t="shared" si="44"/>
        <v>0</v>
      </c>
      <c r="F2269" s="7"/>
      <c r="G2269" s="7"/>
      <c r="H2269" s="2"/>
      <c r="I2269" s="7"/>
      <c r="J2269" s="2"/>
      <c r="K2269" s="7"/>
      <c r="L2269" s="2"/>
      <c r="M2269" s="7"/>
    </row>
    <row r="2270" spans="1:13" ht="12.75">
      <c r="A2270" s="41" t="s">
        <v>434</v>
      </c>
      <c r="B2270" s="46"/>
      <c r="C2270" s="7"/>
      <c r="D2270" s="7"/>
      <c r="E2270" s="7">
        <f t="shared" si="44"/>
        <v>30840</v>
      </c>
      <c r="F2270" s="7"/>
      <c r="G2270" s="7"/>
      <c r="H2270" s="2"/>
      <c r="I2270" s="7"/>
      <c r="J2270" s="2"/>
      <c r="K2270" s="7"/>
      <c r="L2270" s="2"/>
      <c r="M2270" s="7">
        <v>30840</v>
      </c>
    </row>
    <row r="2271" spans="1:13" ht="12.75">
      <c r="A2271" s="41" t="s">
        <v>256</v>
      </c>
      <c r="B2271" s="46"/>
      <c r="C2271" s="7"/>
      <c r="D2271" s="7"/>
      <c r="E2271" s="7">
        <f t="shared" si="44"/>
        <v>20499.18</v>
      </c>
      <c r="F2271" s="7"/>
      <c r="G2271" s="7"/>
      <c r="H2271" s="2"/>
      <c r="I2271" s="7">
        <v>920</v>
      </c>
      <c r="J2271" s="2"/>
      <c r="K2271" s="7">
        <v>6979.18</v>
      </c>
      <c r="L2271" s="2"/>
      <c r="M2271" s="7">
        <v>12600</v>
      </c>
    </row>
    <row r="2272" spans="1:13" ht="12.75">
      <c r="A2272" s="41" t="s">
        <v>57</v>
      </c>
      <c r="B2272" s="46"/>
      <c r="C2272" s="7"/>
      <c r="D2272" s="7"/>
      <c r="E2272" s="7">
        <f t="shared" si="44"/>
        <v>25.710591</v>
      </c>
      <c r="F2272" s="7"/>
      <c r="G2272" s="7"/>
      <c r="H2272" s="2"/>
      <c r="I2272" s="7">
        <f>0.0071*C2230</f>
        <v>25.710591</v>
      </c>
      <c r="J2272" s="2"/>
      <c r="K2272" s="7"/>
      <c r="L2272" s="2"/>
      <c r="M2272" s="7"/>
    </row>
    <row r="2273" spans="1:13" ht="12.75">
      <c r="A2273" s="41" t="s">
        <v>33</v>
      </c>
      <c r="B2273" s="46"/>
      <c r="C2273" s="7"/>
      <c r="D2273" s="7"/>
      <c r="E2273" s="7">
        <f t="shared" si="44"/>
        <v>3162</v>
      </c>
      <c r="F2273" s="15"/>
      <c r="G2273" s="7"/>
      <c r="H2273" s="2"/>
      <c r="I2273" s="7"/>
      <c r="J2273" s="2"/>
      <c r="K2273" s="7"/>
      <c r="L2273" s="2"/>
      <c r="M2273" s="7">
        <v>3162</v>
      </c>
    </row>
    <row r="2274" spans="1:13" ht="12.75">
      <c r="A2274" s="41" t="s">
        <v>50</v>
      </c>
      <c r="B2274" s="46"/>
      <c r="C2274" s="7"/>
      <c r="D2274" s="7"/>
      <c r="E2274" s="7">
        <f t="shared" si="44"/>
        <v>3985.759735</v>
      </c>
      <c r="F2274" s="7"/>
      <c r="G2274" s="7">
        <f>0.2455*C2230</f>
        <v>889.007055</v>
      </c>
      <c r="H2274" s="2"/>
      <c r="I2274" s="7">
        <f>0.5802*C2230</f>
        <v>2101.0260420000004</v>
      </c>
      <c r="J2274" s="2"/>
      <c r="K2274" s="7">
        <f>0.1437*K2230</f>
        <v>528.577458</v>
      </c>
      <c r="L2274" s="2"/>
      <c r="M2274" s="7">
        <f>0.127*K2230</f>
        <v>467.14918</v>
      </c>
    </row>
    <row r="2275" spans="1:13" ht="13.5" thickBot="1">
      <c r="A2275" s="48" t="s">
        <v>54</v>
      </c>
      <c r="B2275" s="49"/>
      <c r="C2275" s="50"/>
      <c r="D2275" s="50"/>
      <c r="E2275" s="50">
        <f t="shared" si="44"/>
        <v>112.84725800000001</v>
      </c>
      <c r="F2275" s="50"/>
      <c r="G2275" s="50"/>
      <c r="H2275" s="22"/>
      <c r="I2275" s="50">
        <f>0.0078*C2230</f>
        <v>28.245438</v>
      </c>
      <c r="J2275" s="22"/>
      <c r="K2275" s="50">
        <f>0.011*K2230</f>
        <v>40.46174</v>
      </c>
      <c r="L2275" s="22"/>
      <c r="M2275" s="50">
        <f>0.012*K2230</f>
        <v>44.140080000000005</v>
      </c>
    </row>
    <row r="2276" spans="1:13" ht="13.5" thickBot="1">
      <c r="A2276" s="59" t="s">
        <v>10</v>
      </c>
      <c r="B2276" s="81"/>
      <c r="C2276" s="63"/>
      <c r="D2276" s="63"/>
      <c r="E2276" s="63">
        <f t="shared" si="44"/>
        <v>231587.48453099997</v>
      </c>
      <c r="F2276" s="63"/>
      <c r="G2276" s="63">
        <f>SUM(G2255:G2275)</f>
        <v>25778.8744391</v>
      </c>
      <c r="H2276" s="26"/>
      <c r="I2276" s="63">
        <f>SUM(I2255:I2275)</f>
        <v>71288.7221757</v>
      </c>
      <c r="J2276" s="26"/>
      <c r="K2276" s="63">
        <f>SUM(K2255:K2275)</f>
        <v>56518.614034000006</v>
      </c>
      <c r="L2276" s="26"/>
      <c r="M2276" s="29">
        <f>SUM(M2255:M2275)</f>
        <v>78001.2738822</v>
      </c>
    </row>
    <row r="2277" spans="1:13" ht="12.75">
      <c r="A2277" s="60" t="s">
        <v>42</v>
      </c>
      <c r="B2277" s="55"/>
      <c r="C2277" s="66"/>
      <c r="D2277" s="66"/>
      <c r="E2277" s="56">
        <f t="shared" si="44"/>
        <v>0</v>
      </c>
      <c r="F2277" s="66"/>
      <c r="G2277" s="56"/>
      <c r="H2277" s="74"/>
      <c r="I2277" s="56"/>
      <c r="J2277" s="74"/>
      <c r="K2277" s="56"/>
      <c r="L2277" s="74"/>
      <c r="M2277" s="56"/>
    </row>
    <row r="2278" spans="1:13" ht="12.75">
      <c r="A2278" s="74" t="s">
        <v>428</v>
      </c>
      <c r="B2278" s="55"/>
      <c r="C2278" s="66"/>
      <c r="D2278" s="66"/>
      <c r="E2278" s="56">
        <f t="shared" si="44"/>
        <v>267.2</v>
      </c>
      <c r="F2278" s="66"/>
      <c r="G2278" s="56"/>
      <c r="H2278" s="74"/>
      <c r="I2278" s="56"/>
      <c r="J2278" s="74"/>
      <c r="K2278" s="56"/>
      <c r="L2278" s="74"/>
      <c r="M2278" s="56">
        <v>267.2</v>
      </c>
    </row>
    <row r="2279" spans="1:13" ht="12.75">
      <c r="A2279" s="41" t="s">
        <v>56</v>
      </c>
      <c r="B2279" s="46"/>
      <c r="C2279" s="7"/>
      <c r="D2279" s="7"/>
      <c r="E2279" s="56">
        <f t="shared" si="44"/>
        <v>0</v>
      </c>
      <c r="F2279" s="7"/>
      <c r="G2279" s="7"/>
      <c r="H2279" s="2"/>
      <c r="I2279" s="7"/>
      <c r="J2279" s="2"/>
      <c r="K2279" s="7"/>
      <c r="L2279" s="2"/>
      <c r="M2279" s="7"/>
    </row>
    <row r="2280" spans="1:13" ht="12.75">
      <c r="A2280" s="74" t="s">
        <v>283</v>
      </c>
      <c r="B2280" s="55"/>
      <c r="C2280" s="66"/>
      <c r="D2280" s="66"/>
      <c r="E2280" s="7">
        <f t="shared" si="44"/>
        <v>251.19</v>
      </c>
      <c r="F2280" s="66"/>
      <c r="G2280" s="56">
        <v>45.37</v>
      </c>
      <c r="H2280" s="74"/>
      <c r="I2280" s="56"/>
      <c r="J2280" s="22"/>
      <c r="K2280" s="50">
        <v>205.82</v>
      </c>
      <c r="L2280" s="22"/>
      <c r="M2280" s="50"/>
    </row>
    <row r="2281" spans="1:13" ht="13.5" thickBot="1">
      <c r="A2281" s="48" t="s">
        <v>16</v>
      </c>
      <c r="B2281" s="49"/>
      <c r="C2281" s="50"/>
      <c r="D2281" s="50"/>
      <c r="E2281" s="50">
        <f t="shared" si="44"/>
        <v>130.80828100000002</v>
      </c>
      <c r="F2281" s="50"/>
      <c r="G2281" s="50">
        <f>0.0089*C2230</f>
        <v>32.228769</v>
      </c>
      <c r="H2281" s="22"/>
      <c r="I2281" s="50"/>
      <c r="J2281" s="22"/>
      <c r="K2281" s="50"/>
      <c r="L2281" s="22"/>
      <c r="M2281" s="50">
        <f>0.0268*K2230</f>
        <v>98.57951200000001</v>
      </c>
    </row>
    <row r="2282" spans="1:13" ht="13.5" thickBot="1">
      <c r="A2282" s="62" t="s">
        <v>10</v>
      </c>
      <c r="B2282" s="81"/>
      <c r="C2282" s="63"/>
      <c r="D2282" s="63"/>
      <c r="E2282" s="63">
        <f t="shared" si="44"/>
        <v>649.198281</v>
      </c>
      <c r="F2282" s="63"/>
      <c r="G2282" s="63">
        <f>SUM(G2279:G2281)</f>
        <v>77.598769</v>
      </c>
      <c r="H2282" s="26"/>
      <c r="I2282" s="63"/>
      <c r="J2282" s="26"/>
      <c r="K2282" s="63">
        <f>SUM(K2279:K2281)</f>
        <v>205.82</v>
      </c>
      <c r="L2282" s="26"/>
      <c r="M2282" s="29">
        <f>SUM(M2278:M2281)</f>
        <v>365.779512</v>
      </c>
    </row>
    <row r="2283" spans="1:13" ht="13.5" thickBot="1">
      <c r="A2283" s="64" t="s">
        <v>29</v>
      </c>
      <c r="B2283" s="81"/>
      <c r="C2283" s="63"/>
      <c r="D2283" s="63"/>
      <c r="E2283" s="63">
        <f t="shared" si="44"/>
        <v>8375.017527</v>
      </c>
      <c r="F2283" s="63"/>
      <c r="G2283" s="63">
        <f>0.4236*C2230</f>
        <v>1533.944556</v>
      </c>
      <c r="H2283" s="26"/>
      <c r="I2283" s="63">
        <f>0.5971*C2230</f>
        <v>2162.224491</v>
      </c>
      <c r="J2283" s="26"/>
      <c r="K2283" s="63"/>
      <c r="L2283" s="26"/>
      <c r="M2283" s="29">
        <f>1.272*K2230</f>
        <v>4678.848480000001</v>
      </c>
    </row>
    <row r="2284" spans="1:13" ht="21.75">
      <c r="A2284" s="65" t="s">
        <v>83</v>
      </c>
      <c r="B2284" s="61"/>
      <c r="C2284" s="56"/>
      <c r="D2284" s="56"/>
      <c r="E2284" s="56">
        <f t="shared" si="44"/>
        <v>518414.2437184</v>
      </c>
      <c r="F2284" s="56"/>
      <c r="G2284" s="56">
        <f>G2253+G2276+G2282+G2283</f>
        <v>92483.2868745</v>
      </c>
      <c r="H2284" s="74"/>
      <c r="I2284" s="56">
        <f>I2253+I2276+I2282+I2283</f>
        <v>150515.8468993</v>
      </c>
      <c r="J2284" s="74"/>
      <c r="K2284" s="56">
        <f>K2253+K2276+K2282+K2283</f>
        <v>132622.8655226</v>
      </c>
      <c r="L2284" s="74"/>
      <c r="M2284" s="56">
        <f>M2253+M2276+M2282+M2283</f>
        <v>142792.24442200002</v>
      </c>
    </row>
    <row r="2285" spans="1:13" ht="33.75">
      <c r="A2285" s="67" t="s">
        <v>84</v>
      </c>
      <c r="B2285" s="46"/>
      <c r="C2285" s="7"/>
      <c r="D2285" s="7"/>
      <c r="E2285" s="8">
        <f>E2284/12/C2230</f>
        <v>11.93004188559441</v>
      </c>
      <c r="F2285" s="7"/>
      <c r="G2285" s="8">
        <f>G2284/3/C2230</f>
        <v>8.513110891525209</v>
      </c>
      <c r="H2285" s="2"/>
      <c r="I2285" s="8">
        <f>I2284/3/C2230</f>
        <v>13.8550233116647</v>
      </c>
      <c r="J2285" s="2"/>
      <c r="K2285" s="8">
        <f>K2284/3/K2230</f>
        <v>12.018362043983608</v>
      </c>
      <c r="L2285" s="2"/>
      <c r="M2285" s="8">
        <f>M2284/3/K2230</f>
        <v>12.93991713852807</v>
      </c>
    </row>
    <row r="2286" spans="1:13" ht="12.75">
      <c r="A2286" s="69" t="s">
        <v>20</v>
      </c>
      <c r="B2286" s="44"/>
      <c r="C2286" s="45"/>
      <c r="D2286" s="45"/>
      <c r="E2286" s="45">
        <f>E2235-E2284</f>
        <v>-76962.90371839999</v>
      </c>
      <c r="F2286" s="45"/>
      <c r="G2286" s="7">
        <f>G2235-G2284</f>
        <v>-1067.7468745000078</v>
      </c>
      <c r="H2286" s="2"/>
      <c r="I2286" s="7">
        <f>I2235-I2284-1068</f>
        <v>-27985.16689929999</v>
      </c>
      <c r="J2286" s="2"/>
      <c r="K2286" s="7">
        <f>K2235-K2284-27985</f>
        <v>-9345.705522600008</v>
      </c>
      <c r="L2286" s="2"/>
      <c r="M2286" s="7">
        <f>M2235-M2284-9346</f>
        <v>-76963.28442200001</v>
      </c>
    </row>
    <row r="2287" spans="1:13" ht="12.75">
      <c r="A2287" s="14" t="s">
        <v>24</v>
      </c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</row>
    <row r="2288" spans="1:13" ht="12.75">
      <c r="A2288" s="14" t="s">
        <v>35</v>
      </c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</row>
    <row r="2289" spans="1:13" ht="12.75">
      <c r="A2289" s="14" t="s">
        <v>25</v>
      </c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</row>
    <row r="2290" spans="1:13" ht="12.75">
      <c r="A2290" s="14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</row>
    <row r="2291" spans="1:13" ht="12.75">
      <c r="A2291" s="14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</row>
    <row r="2292" spans="1:13" ht="12.75">
      <c r="A2292" s="14"/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</row>
    <row r="2293" spans="1:13" ht="12.75">
      <c r="A2293" s="14"/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</row>
    <row r="2294" spans="1:13" ht="12.75">
      <c r="A2294" s="14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</row>
    <row r="2295" spans="1:13" ht="12.75">
      <c r="A2295" s="14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</row>
    <row r="2296" spans="1:13" ht="12.75">
      <c r="A2296" s="14"/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</row>
    <row r="2297" spans="1:13" ht="12.75">
      <c r="A2297" s="14"/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</row>
    <row r="2298" spans="1:13" ht="12.75">
      <c r="A2298" s="14"/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</row>
    <row r="2299" spans="1:13" ht="12.75">
      <c r="A2299" s="14"/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</row>
    <row r="2300" spans="1:13" ht="12.75">
      <c r="A2300" s="14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</row>
    <row r="2301" spans="1:13" ht="12.75">
      <c r="A2301" s="14"/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</row>
    <row r="2302" spans="1:13" ht="12.75">
      <c r="A2302" s="14"/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</row>
    <row r="2303" spans="1:13" ht="12.75">
      <c r="A2303" s="14"/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</row>
    <row r="2304" spans="1:13" ht="12.75">
      <c r="A2304" s="14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</row>
    <row r="2305" spans="1:13" ht="12.75">
      <c r="A2305" s="14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</row>
    <row r="2306" spans="1:13" ht="12" customHeight="1">
      <c r="A2306" s="14"/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</row>
    <row r="2307" spans="1:13" ht="12.75" hidden="1">
      <c r="A2307" s="14"/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</row>
    <row r="2308" spans="1:13" ht="1.5" customHeight="1" hidden="1">
      <c r="A2308" s="14"/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</row>
    <row r="2309" spans="1:13" ht="12.75" hidden="1">
      <c r="A2309" s="14"/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</row>
    <row r="2310" spans="1:13" ht="12.75" hidden="1">
      <c r="A2310" s="14"/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</row>
    <row r="2311" spans="1:13" ht="12.75" hidden="1">
      <c r="A2311" s="14"/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</row>
    <row r="2312" spans="1:13" ht="12.75" hidden="1">
      <c r="A2312" s="14"/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</row>
    <row r="2313" spans="1:13" ht="12.75">
      <c r="A2313" s="31" t="s">
        <v>21</v>
      </c>
      <c r="B2313" s="31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</row>
    <row r="2314" spans="1:13" ht="12.75">
      <c r="A2314" s="14" t="s">
        <v>31</v>
      </c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</row>
    <row r="2315" spans="1:13" ht="12.75">
      <c r="A2315" s="14" t="s">
        <v>41</v>
      </c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</row>
    <row r="2316" spans="1:13" ht="12.75">
      <c r="A2316" s="14" t="s">
        <v>125</v>
      </c>
      <c r="B2316" s="14"/>
      <c r="C2316" s="14"/>
      <c r="D2316" s="14"/>
      <c r="E2316" s="14" t="s">
        <v>32</v>
      </c>
      <c r="F2316" s="14"/>
      <c r="G2316" s="14"/>
      <c r="H2316" s="14"/>
      <c r="I2316" s="14"/>
      <c r="J2316" s="14"/>
      <c r="K2316" s="14"/>
      <c r="L2316" s="14"/>
      <c r="M2316" s="14"/>
    </row>
    <row r="2317" spans="1:13" ht="24" customHeight="1">
      <c r="A2317" s="6" t="s">
        <v>0</v>
      </c>
      <c r="B2317" s="151" t="s">
        <v>38</v>
      </c>
      <c r="C2317" s="152"/>
      <c r="D2317" s="149" t="s">
        <v>39</v>
      </c>
      <c r="E2317" s="150"/>
      <c r="F2317" s="149" t="s">
        <v>96</v>
      </c>
      <c r="G2317" s="150"/>
      <c r="H2317" s="149" t="s">
        <v>97</v>
      </c>
      <c r="I2317" s="150"/>
      <c r="J2317" s="149" t="s">
        <v>98</v>
      </c>
      <c r="K2317" s="150"/>
      <c r="L2317" s="149" t="s">
        <v>99</v>
      </c>
      <c r="M2317" s="150"/>
    </row>
    <row r="2318" spans="1:13" ht="12.75">
      <c r="A2318" s="11" t="s">
        <v>5</v>
      </c>
      <c r="B2318" s="153"/>
      <c r="C2318" s="154"/>
      <c r="D2318" s="6" t="s">
        <v>40</v>
      </c>
      <c r="E2318" s="6" t="s">
        <v>22</v>
      </c>
      <c r="F2318" s="6" t="s">
        <v>40</v>
      </c>
      <c r="G2318" s="13" t="s">
        <v>22</v>
      </c>
      <c r="H2318" s="2"/>
      <c r="I2318" s="2"/>
      <c r="J2318" s="2"/>
      <c r="K2318" s="2"/>
      <c r="L2318" s="2"/>
      <c r="M2318" s="2"/>
    </row>
    <row r="2319" spans="1:13" ht="12.75">
      <c r="A2319" s="2" t="s">
        <v>1</v>
      </c>
      <c r="B2319" s="2"/>
      <c r="C2319" s="6">
        <v>5</v>
      </c>
      <c r="D2319" s="2"/>
      <c r="E2319" s="2"/>
      <c r="F2319" s="2"/>
      <c r="G2319" s="2"/>
      <c r="H2319" s="2"/>
      <c r="I2319" s="2"/>
      <c r="J2319" s="2"/>
      <c r="K2319" s="2"/>
      <c r="L2319" s="2"/>
      <c r="M2319" s="2"/>
    </row>
    <row r="2320" spans="1:13" ht="12.75">
      <c r="A2320" s="2" t="s">
        <v>2</v>
      </c>
      <c r="B2320" s="2"/>
      <c r="C2320" s="6">
        <v>6</v>
      </c>
      <c r="D2320" s="2"/>
      <c r="E2320" s="2"/>
      <c r="F2320" s="2"/>
      <c r="G2320" s="2"/>
      <c r="H2320" s="2"/>
      <c r="I2320" s="2"/>
      <c r="J2320" s="2"/>
      <c r="K2320" s="2"/>
      <c r="L2320" s="2"/>
      <c r="M2320" s="2"/>
    </row>
    <row r="2321" spans="1:13" ht="12.75">
      <c r="A2321" s="2" t="s">
        <v>3</v>
      </c>
      <c r="B2321" s="2"/>
      <c r="C2321" s="6">
        <v>60</v>
      </c>
      <c r="D2321" s="2"/>
      <c r="E2321" s="2"/>
      <c r="F2321" s="2"/>
      <c r="G2321" s="2"/>
      <c r="H2321" s="2"/>
      <c r="I2321" s="2"/>
      <c r="J2321" s="2"/>
      <c r="K2321" s="2"/>
      <c r="L2321" s="2"/>
      <c r="M2321" s="2"/>
    </row>
    <row r="2322" spans="1:13" ht="12.75">
      <c r="A2322" s="2" t="s">
        <v>4</v>
      </c>
      <c r="B2322" s="6"/>
      <c r="C2322" s="6">
        <v>3616.22</v>
      </c>
      <c r="D2322" s="6"/>
      <c r="E2322" s="6"/>
      <c r="F2322" s="6"/>
      <c r="G2322" s="2"/>
      <c r="H2322" s="2"/>
      <c r="I2322" s="2"/>
      <c r="J2322" s="2"/>
      <c r="K2322" s="2">
        <v>3622.59</v>
      </c>
      <c r="L2322" s="2"/>
      <c r="M2322" s="2"/>
    </row>
    <row r="2323" spans="1:13" ht="21.75">
      <c r="A2323" s="35" t="s">
        <v>6</v>
      </c>
      <c r="B2323" s="11" t="s">
        <v>40</v>
      </c>
      <c r="C2323" s="2" t="s">
        <v>22</v>
      </c>
      <c r="D2323" s="2"/>
      <c r="E2323" s="2"/>
      <c r="F2323" s="2"/>
      <c r="G2323" s="2"/>
      <c r="H2323" s="2"/>
      <c r="I2323" s="2"/>
      <c r="J2323" s="2"/>
      <c r="K2323" s="2"/>
      <c r="L2323" s="2"/>
      <c r="M2323" s="2"/>
    </row>
    <row r="2324" spans="1:13" ht="22.5">
      <c r="A2324" s="40" t="s">
        <v>7</v>
      </c>
      <c r="B2324" s="3"/>
      <c r="C2324" s="6"/>
      <c r="D2324" s="6"/>
      <c r="E2324" s="6">
        <f>G2324+I2324+K2324+M2324</f>
        <v>450749.35</v>
      </c>
      <c r="F2324" s="2"/>
      <c r="G2324" s="2">
        <v>100395.09</v>
      </c>
      <c r="H2324" s="2"/>
      <c r="I2324" s="2">
        <v>110045.12</v>
      </c>
      <c r="J2324" s="2"/>
      <c r="K2324" s="2">
        <v>114019.49</v>
      </c>
      <c r="L2324" s="2"/>
      <c r="M2324" s="2">
        <v>126289.65</v>
      </c>
    </row>
    <row r="2325" spans="1:13" ht="12.75">
      <c r="A2325" s="41" t="s">
        <v>8</v>
      </c>
      <c r="B2325" s="3"/>
      <c r="C2325" s="6"/>
      <c r="D2325" s="6"/>
      <c r="E2325" s="6"/>
      <c r="F2325" s="2"/>
      <c r="G2325" s="2"/>
      <c r="H2325" s="2"/>
      <c r="I2325" s="2"/>
      <c r="J2325" s="2"/>
      <c r="K2325" s="2"/>
      <c r="L2325" s="2"/>
      <c r="M2325" s="2"/>
    </row>
    <row r="2326" spans="1:13" ht="12.75">
      <c r="A2326" s="41" t="s">
        <v>9</v>
      </c>
      <c r="B2326" s="3"/>
      <c r="C2326" s="6"/>
      <c r="D2326" s="6"/>
      <c r="E2326" s="6"/>
      <c r="F2326" s="2"/>
      <c r="G2326" s="2"/>
      <c r="H2326" s="2"/>
      <c r="I2326" s="2"/>
      <c r="J2326" s="2"/>
      <c r="K2326" s="2"/>
      <c r="L2326" s="2"/>
      <c r="M2326" s="2"/>
    </row>
    <row r="2327" spans="1:13" ht="12.75">
      <c r="A2327" s="2" t="s">
        <v>10</v>
      </c>
      <c r="B2327" s="42"/>
      <c r="C2327" s="11"/>
      <c r="D2327" s="11"/>
      <c r="E2327" s="11">
        <f>SUM(E2324:E2326)</f>
        <v>450749.35</v>
      </c>
      <c r="F2327" s="37"/>
      <c r="G2327" s="37">
        <f>SUM(G2324:G2326)</f>
        <v>100395.09</v>
      </c>
      <c r="H2327" s="2"/>
      <c r="I2327" s="2">
        <f>SUM(I2324:I2326)</f>
        <v>110045.12</v>
      </c>
      <c r="J2327" s="2"/>
      <c r="K2327" s="2">
        <f>SUM(K2324:K2326)</f>
        <v>114019.49</v>
      </c>
      <c r="L2327" s="2"/>
      <c r="M2327" s="2">
        <f>SUM(M2324:M2326)</f>
        <v>126289.65</v>
      </c>
    </row>
    <row r="2328" spans="1:13" ht="21.75">
      <c r="A2328" s="35" t="s">
        <v>82</v>
      </c>
      <c r="B2328" s="4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</row>
    <row r="2329" spans="1:13" ht="12.75">
      <c r="A2329" s="43" t="s">
        <v>11</v>
      </c>
      <c r="B2329" s="44"/>
      <c r="C2329" s="45"/>
      <c r="D2329" s="45"/>
      <c r="E2329" s="45">
        <f>G2329+I2329+K2329+M2329</f>
        <v>118057.3198972</v>
      </c>
      <c r="F2329" s="45"/>
      <c r="G2329" s="45">
        <f>7.99407*C2322</f>
        <v>28908.315815399998</v>
      </c>
      <c r="H2329" s="2"/>
      <c r="I2329" s="7">
        <f>9.57707*C2322</f>
        <v>34632.7920754</v>
      </c>
      <c r="J2329" s="2"/>
      <c r="K2329" s="7">
        <f>7.32829*K2322</f>
        <v>26547.390071100002</v>
      </c>
      <c r="L2329" s="2"/>
      <c r="M2329" s="7">
        <f>7.72067*K2322</f>
        <v>27968.821935300002</v>
      </c>
    </row>
    <row r="2330" spans="1:13" ht="12.75">
      <c r="A2330" s="43" t="s">
        <v>12</v>
      </c>
      <c r="B2330" s="46"/>
      <c r="C2330" s="7"/>
      <c r="D2330" s="7"/>
      <c r="E2330" s="7">
        <f aca="true" t="shared" si="45" ref="E2330:E2377">G2330+I2330+K2330+M2330</f>
        <v>0</v>
      </c>
      <c r="F2330" s="7"/>
      <c r="G2330" s="7"/>
      <c r="H2330" s="2"/>
      <c r="I2330" s="7"/>
      <c r="J2330" s="2"/>
      <c r="K2330" s="7"/>
      <c r="L2330" s="2"/>
      <c r="M2330" s="7"/>
    </row>
    <row r="2331" spans="1:13" ht="12.75">
      <c r="A2331" s="41" t="s">
        <v>13</v>
      </c>
      <c r="B2331" s="46"/>
      <c r="C2331" s="7"/>
      <c r="D2331" s="7"/>
      <c r="E2331" s="45">
        <f t="shared" si="45"/>
        <v>153221.5620343</v>
      </c>
      <c r="F2331" s="45"/>
      <c r="G2331" s="45">
        <f>G2332+G2334+G2335+G2336+G2339+G2340+G2341+G2342+G2343+G2344+G2345</f>
        <v>36124.2177174</v>
      </c>
      <c r="H2331" s="2"/>
      <c r="I2331" s="7">
        <f>I2332+I2334+I2335+I2336+I2339+I2340+I2341+I2342+I2343+I2344+I2345</f>
        <v>42079.439617799995</v>
      </c>
      <c r="J2331" s="2"/>
      <c r="K2331" s="7">
        <f>K2332+K2334+K2335+K2336+K2337+K2339+K2340+K2341+K2342+K2343+K2344+K2345</f>
        <v>40253.0556891</v>
      </c>
      <c r="L2331" s="2"/>
      <c r="M2331" s="7">
        <f>M2332+M2334+M2335+M2336+M2337+M2338+M2339+M2340+M2341+M2342+M2343+M2344+M2345</f>
        <v>34764.84901</v>
      </c>
    </row>
    <row r="2332" spans="1:13" ht="12.75">
      <c r="A2332" s="47" t="s">
        <v>14</v>
      </c>
      <c r="B2332" s="46"/>
      <c r="C2332" s="71"/>
      <c r="D2332" s="7"/>
      <c r="E2332" s="7">
        <f t="shared" si="45"/>
        <v>130392</v>
      </c>
      <c r="F2332" s="7"/>
      <c r="G2332" s="7">
        <v>33676</v>
      </c>
      <c r="H2332" s="2"/>
      <c r="I2332" s="7">
        <v>32606</v>
      </c>
      <c r="J2332" s="2"/>
      <c r="K2332" s="7">
        <v>34210</v>
      </c>
      <c r="L2332" s="2"/>
      <c r="M2332" s="7">
        <v>29900</v>
      </c>
    </row>
    <row r="2333" spans="1:13" ht="12.75">
      <c r="A2333" s="41" t="s">
        <v>19</v>
      </c>
      <c r="B2333" s="46"/>
      <c r="C2333" s="71"/>
      <c r="D2333" s="7"/>
      <c r="E2333" s="7">
        <f t="shared" si="45"/>
        <v>86434</v>
      </c>
      <c r="F2333" s="7"/>
      <c r="G2333" s="7">
        <v>21619</v>
      </c>
      <c r="H2333" s="2"/>
      <c r="I2333" s="7">
        <v>21619</v>
      </c>
      <c r="J2333" s="2"/>
      <c r="K2333" s="7">
        <v>21598</v>
      </c>
      <c r="L2333" s="2"/>
      <c r="M2333" s="7">
        <v>21598</v>
      </c>
    </row>
    <row r="2334" spans="1:13" ht="12.75">
      <c r="A2334" s="41" t="s">
        <v>18</v>
      </c>
      <c r="B2334" s="46"/>
      <c r="C2334" s="7"/>
      <c r="D2334" s="7"/>
      <c r="E2334" s="7">
        <f t="shared" si="45"/>
        <v>1342.94</v>
      </c>
      <c r="F2334" s="7"/>
      <c r="G2334" s="7">
        <v>210.59</v>
      </c>
      <c r="H2334" s="2"/>
      <c r="I2334" s="7">
        <v>296.36</v>
      </c>
      <c r="J2334" s="2"/>
      <c r="K2334" s="7">
        <v>401.32</v>
      </c>
      <c r="L2334" s="2"/>
      <c r="M2334" s="7">
        <v>434.67</v>
      </c>
    </row>
    <row r="2335" spans="1:13" ht="12.75">
      <c r="A2335" s="41" t="s">
        <v>53</v>
      </c>
      <c r="B2335" s="46"/>
      <c r="C2335" s="7"/>
      <c r="D2335" s="7"/>
      <c r="E2335" s="7">
        <f t="shared" si="45"/>
        <v>6963.1706773</v>
      </c>
      <c r="F2335" s="7"/>
      <c r="G2335" s="7">
        <f>0.54857*C2322</f>
        <v>1983.7498053999998</v>
      </c>
      <c r="H2335" s="2"/>
      <c r="I2335" s="7">
        <f>0.53049*C2322</f>
        <v>1918.3685478</v>
      </c>
      <c r="J2335" s="2"/>
      <c r="K2335" s="7">
        <f>0.60599*K2322</f>
        <v>2195.2533141000004</v>
      </c>
      <c r="L2335" s="2"/>
      <c r="M2335" s="7">
        <f>0.239*K2322</f>
        <v>865.79901</v>
      </c>
    </row>
    <row r="2336" spans="1:13" ht="12.75">
      <c r="A2336" s="41" t="s">
        <v>148</v>
      </c>
      <c r="B2336" s="46"/>
      <c r="C2336" s="7"/>
      <c r="D2336" s="7"/>
      <c r="E2336" s="7">
        <f t="shared" si="45"/>
        <v>183</v>
      </c>
      <c r="F2336" s="7"/>
      <c r="G2336" s="7">
        <v>183</v>
      </c>
      <c r="H2336" s="2"/>
      <c r="I2336" s="7"/>
      <c r="J2336" s="2"/>
      <c r="K2336" s="7"/>
      <c r="L2336" s="2"/>
      <c r="M2336" s="7"/>
    </row>
    <row r="2337" spans="1:13" ht="12.75">
      <c r="A2337" s="41" t="s">
        <v>248</v>
      </c>
      <c r="B2337" s="46"/>
      <c r="C2337" s="7"/>
      <c r="D2337" s="7"/>
      <c r="E2337" s="7"/>
      <c r="F2337" s="7"/>
      <c r="G2337" s="7"/>
      <c r="H2337" s="2"/>
      <c r="I2337" s="7"/>
      <c r="J2337" s="2"/>
      <c r="K2337" s="7">
        <v>3401.2</v>
      </c>
      <c r="L2337" s="2"/>
      <c r="M2337" s="7"/>
    </row>
    <row r="2338" spans="1:13" ht="12.75">
      <c r="A2338" s="41" t="s">
        <v>357</v>
      </c>
      <c r="B2338" s="46"/>
      <c r="C2338" s="7"/>
      <c r="D2338" s="7"/>
      <c r="E2338" s="7"/>
      <c r="F2338" s="7"/>
      <c r="G2338" s="7"/>
      <c r="H2338" s="2"/>
      <c r="I2338" s="7"/>
      <c r="J2338" s="2"/>
      <c r="K2338" s="7"/>
      <c r="L2338" s="2"/>
      <c r="M2338" s="7">
        <v>794</v>
      </c>
    </row>
    <row r="2339" spans="1:13" ht="12.75">
      <c r="A2339" s="41" t="s">
        <v>27</v>
      </c>
      <c r="B2339" s="46"/>
      <c r="C2339" s="7"/>
      <c r="D2339" s="7"/>
      <c r="E2339" s="7">
        <f t="shared" si="45"/>
        <v>1706</v>
      </c>
      <c r="F2339" s="7"/>
      <c r="G2339" s="7"/>
      <c r="H2339" s="2"/>
      <c r="I2339" s="7">
        <v>1706</v>
      </c>
      <c r="J2339" s="2"/>
      <c r="K2339" s="7"/>
      <c r="L2339" s="2"/>
      <c r="M2339" s="7"/>
    </row>
    <row r="2340" spans="1:13" ht="12.75">
      <c r="A2340" s="41" t="s">
        <v>36</v>
      </c>
      <c r="B2340" s="46"/>
      <c r="C2340" s="7"/>
      <c r="D2340" s="7"/>
      <c r="E2340" s="7">
        <f t="shared" si="45"/>
        <v>4080.38</v>
      </c>
      <c r="F2340" s="7"/>
      <c r="G2340" s="7"/>
      <c r="H2340" s="2" t="s">
        <v>257</v>
      </c>
      <c r="I2340" s="7">
        <v>1310</v>
      </c>
      <c r="J2340" s="2"/>
      <c r="K2340" s="7"/>
      <c r="L2340" s="2" t="s">
        <v>401</v>
      </c>
      <c r="M2340" s="7">
        <v>2770.38</v>
      </c>
    </row>
    <row r="2341" spans="1:13" ht="12.75">
      <c r="A2341" s="41" t="s">
        <v>58</v>
      </c>
      <c r="B2341" s="46"/>
      <c r="C2341" s="7"/>
      <c r="D2341" s="7"/>
      <c r="E2341" s="7">
        <f t="shared" si="45"/>
        <v>0</v>
      </c>
      <c r="F2341" s="7"/>
      <c r="G2341" s="7"/>
      <c r="H2341" s="2"/>
      <c r="I2341" s="7"/>
      <c r="J2341" s="2"/>
      <c r="K2341" s="7"/>
      <c r="L2341" s="2"/>
      <c r="M2341" s="7"/>
    </row>
    <row r="2342" spans="1:13" ht="12.75">
      <c r="A2342" s="41" t="s">
        <v>43</v>
      </c>
      <c r="B2342" s="46"/>
      <c r="C2342" s="7"/>
      <c r="D2342" s="7"/>
      <c r="E2342" s="7">
        <f t="shared" si="45"/>
        <v>0</v>
      </c>
      <c r="F2342" s="7"/>
      <c r="G2342" s="7"/>
      <c r="H2342" s="2"/>
      <c r="I2342" s="7"/>
      <c r="J2342" s="2"/>
      <c r="K2342" s="7"/>
      <c r="L2342" s="2"/>
      <c r="M2342" s="7"/>
    </row>
    <row r="2343" spans="1:13" ht="12.75">
      <c r="A2343" s="41" t="s">
        <v>30</v>
      </c>
      <c r="B2343" s="46"/>
      <c r="C2343" s="7"/>
      <c r="D2343" s="7"/>
      <c r="E2343" s="7">
        <f t="shared" si="45"/>
        <v>3995</v>
      </c>
      <c r="F2343" s="7"/>
      <c r="G2343" s="7"/>
      <c r="H2343" s="2"/>
      <c r="I2343" s="7">
        <v>3995</v>
      </c>
      <c r="J2343" s="2"/>
      <c r="K2343" s="7"/>
      <c r="L2343" s="2"/>
      <c r="M2343" s="7"/>
    </row>
    <row r="2344" spans="1:13" ht="12.75">
      <c r="A2344" s="41" t="s">
        <v>54</v>
      </c>
      <c r="B2344" s="46"/>
      <c r="C2344" s="7"/>
      <c r="D2344" s="7"/>
      <c r="E2344" s="7">
        <f t="shared" si="45"/>
        <v>70.877912</v>
      </c>
      <c r="F2344" s="7"/>
      <c r="G2344" s="7">
        <f>0.0196*C2322</f>
        <v>70.877912</v>
      </c>
      <c r="H2344" s="2"/>
      <c r="I2344" s="7"/>
      <c r="J2344" s="2"/>
      <c r="K2344" s="7"/>
      <c r="L2344" s="2"/>
      <c r="M2344" s="7"/>
    </row>
    <row r="2345" spans="1:13" ht="13.5" thickBot="1">
      <c r="A2345" s="48" t="s">
        <v>55</v>
      </c>
      <c r="B2345" s="49"/>
      <c r="C2345" s="50"/>
      <c r="D2345" s="50"/>
      <c r="E2345" s="50">
        <f t="shared" si="45"/>
        <v>292.993445</v>
      </c>
      <c r="F2345" s="50"/>
      <c r="G2345" s="50"/>
      <c r="H2345" s="22"/>
      <c r="I2345" s="50">
        <f>0.0685*C2322</f>
        <v>247.71107</v>
      </c>
      <c r="J2345" s="22"/>
      <c r="K2345" s="50">
        <f>0.0125*K2322</f>
        <v>45.282375</v>
      </c>
      <c r="L2345" s="22"/>
      <c r="M2345" s="50"/>
    </row>
    <row r="2346" spans="1:13" ht="13.5" thickBot="1">
      <c r="A2346" s="106" t="s">
        <v>76</v>
      </c>
      <c r="B2346" s="81"/>
      <c r="C2346" s="63"/>
      <c r="D2346" s="63"/>
      <c r="E2346" s="63">
        <f t="shared" si="45"/>
        <v>271278.8819315</v>
      </c>
      <c r="F2346" s="63"/>
      <c r="G2346" s="63">
        <f>G2329+G2331</f>
        <v>65032.5335328</v>
      </c>
      <c r="H2346" s="26"/>
      <c r="I2346" s="63">
        <f>I2329+I2331</f>
        <v>76712.2316932</v>
      </c>
      <c r="J2346" s="26"/>
      <c r="K2346" s="63">
        <f>K2329+K2331</f>
        <v>66800.4457602</v>
      </c>
      <c r="L2346" s="26"/>
      <c r="M2346" s="29">
        <f>M2329+M2331</f>
        <v>62733.6709453</v>
      </c>
    </row>
    <row r="2347" spans="1:13" ht="21.75">
      <c r="A2347" s="54" t="s">
        <v>15</v>
      </c>
      <c r="B2347" s="55"/>
      <c r="C2347" s="66"/>
      <c r="D2347" s="66"/>
      <c r="E2347" s="56">
        <f t="shared" si="45"/>
        <v>0</v>
      </c>
      <c r="F2347" s="66"/>
      <c r="G2347" s="56"/>
      <c r="H2347" s="74"/>
      <c r="I2347" s="56"/>
      <c r="J2347" s="74"/>
      <c r="K2347" s="56"/>
      <c r="L2347" s="74"/>
      <c r="M2347" s="56"/>
    </row>
    <row r="2348" spans="1:13" ht="12.75">
      <c r="A2348" s="41" t="s">
        <v>17</v>
      </c>
      <c r="B2348" s="46"/>
      <c r="C2348" s="7"/>
      <c r="D2348" s="7"/>
      <c r="E2348" s="7">
        <f t="shared" si="45"/>
        <v>102328.46827730001</v>
      </c>
      <c r="F2348" s="7"/>
      <c r="G2348" s="7">
        <f>6.73321*C2322</f>
        <v>24348.768666199998</v>
      </c>
      <c r="H2348" s="2"/>
      <c r="I2348" s="7">
        <f>7.02207*C2322</f>
        <v>25393.3499754</v>
      </c>
      <c r="J2348" s="2"/>
      <c r="K2348" s="7">
        <f>7.2754*K2322</f>
        <v>26355.791286000003</v>
      </c>
      <c r="L2348" s="2"/>
      <c r="M2348" s="7">
        <f>7.24083*K2322</f>
        <v>26230.5583497</v>
      </c>
    </row>
    <row r="2349" spans="1:13" ht="12.75">
      <c r="A2349" s="41" t="s">
        <v>351</v>
      </c>
      <c r="B2349" s="46"/>
      <c r="C2349" s="71"/>
      <c r="D2349" s="7"/>
      <c r="E2349" s="7">
        <f t="shared" si="45"/>
        <v>917.7</v>
      </c>
      <c r="F2349" s="7"/>
      <c r="G2349" s="7"/>
      <c r="H2349" s="2"/>
      <c r="I2349" s="7"/>
      <c r="J2349" s="2"/>
      <c r="K2349" s="7">
        <v>917.7</v>
      </c>
      <c r="L2349" s="2"/>
      <c r="M2349" s="7"/>
    </row>
    <row r="2350" spans="1:13" ht="12.75">
      <c r="A2350" s="41" t="s">
        <v>67</v>
      </c>
      <c r="B2350" s="46"/>
      <c r="C2350" s="7"/>
      <c r="D2350" s="7"/>
      <c r="E2350" s="7">
        <f t="shared" si="45"/>
        <v>4358.85</v>
      </c>
      <c r="F2350" s="7"/>
      <c r="G2350" s="7"/>
      <c r="H2350" s="2"/>
      <c r="I2350" s="7"/>
      <c r="J2350" s="2"/>
      <c r="K2350" s="7">
        <v>786.6</v>
      </c>
      <c r="L2350" s="2"/>
      <c r="M2350" s="7">
        <v>3572.25</v>
      </c>
    </row>
    <row r="2351" spans="1:13" ht="12.75">
      <c r="A2351" s="41" t="s">
        <v>68</v>
      </c>
      <c r="B2351" s="46"/>
      <c r="C2351" s="7"/>
      <c r="D2351" s="7"/>
      <c r="E2351" s="7">
        <f t="shared" si="45"/>
        <v>0</v>
      </c>
      <c r="F2351" s="7"/>
      <c r="G2351" s="7"/>
      <c r="H2351" s="2"/>
      <c r="I2351" s="7"/>
      <c r="J2351" s="2"/>
      <c r="K2351" s="7"/>
      <c r="L2351" s="2"/>
      <c r="M2351" s="7"/>
    </row>
    <row r="2352" spans="1:13" ht="12.75">
      <c r="A2352" s="41" t="s">
        <v>69</v>
      </c>
      <c r="B2352" s="46"/>
      <c r="C2352" s="7"/>
      <c r="D2352" s="7"/>
      <c r="E2352" s="7">
        <f t="shared" si="45"/>
        <v>1948</v>
      </c>
      <c r="F2352" s="7"/>
      <c r="G2352" s="7"/>
      <c r="H2352" s="2"/>
      <c r="I2352" s="7">
        <v>1344</v>
      </c>
      <c r="J2352" s="2"/>
      <c r="K2352" s="7"/>
      <c r="L2352" s="2"/>
      <c r="M2352" s="7">
        <v>604</v>
      </c>
    </row>
    <row r="2353" spans="1:13" ht="12.75">
      <c r="A2353" s="41" t="s">
        <v>26</v>
      </c>
      <c r="B2353" s="46"/>
      <c r="C2353" s="7"/>
      <c r="D2353" s="7"/>
      <c r="E2353" s="7">
        <f t="shared" si="45"/>
        <v>2209</v>
      </c>
      <c r="F2353" s="7"/>
      <c r="G2353" s="7">
        <v>330</v>
      </c>
      <c r="H2353" s="2"/>
      <c r="I2353" s="7"/>
      <c r="J2353" s="2"/>
      <c r="K2353" s="7">
        <v>1300</v>
      </c>
      <c r="L2353" s="2"/>
      <c r="M2353" s="7">
        <v>579</v>
      </c>
    </row>
    <row r="2354" spans="1:13" ht="12.75">
      <c r="A2354" s="41" t="s">
        <v>28</v>
      </c>
      <c r="B2354" s="46"/>
      <c r="C2354" s="7"/>
      <c r="D2354" s="7"/>
      <c r="E2354" s="7">
        <f t="shared" si="45"/>
        <v>2034.5</v>
      </c>
      <c r="F2354" s="7"/>
      <c r="G2354" s="7"/>
      <c r="H2354" s="2"/>
      <c r="I2354" s="7"/>
      <c r="J2354" s="2"/>
      <c r="K2354" s="7"/>
      <c r="L2354" s="2"/>
      <c r="M2354" s="7">
        <v>2034.5</v>
      </c>
    </row>
    <row r="2355" spans="1:13" ht="12.75">
      <c r="A2355" s="41" t="s">
        <v>291</v>
      </c>
      <c r="B2355" s="46"/>
      <c r="C2355" s="7"/>
      <c r="D2355" s="7"/>
      <c r="E2355" s="7"/>
      <c r="F2355" s="7"/>
      <c r="G2355" s="7"/>
      <c r="H2355" s="2"/>
      <c r="I2355" s="7"/>
      <c r="J2355" s="2"/>
      <c r="K2355" s="7">
        <v>750</v>
      </c>
      <c r="L2355" s="2"/>
      <c r="M2355" s="7"/>
    </row>
    <row r="2356" spans="1:13" ht="12.75">
      <c r="A2356" s="41" t="s">
        <v>60</v>
      </c>
      <c r="B2356" s="46"/>
      <c r="C2356" s="7"/>
      <c r="D2356" s="7"/>
      <c r="E2356" s="7">
        <f t="shared" si="45"/>
        <v>0</v>
      </c>
      <c r="F2356" s="7"/>
      <c r="G2356" s="7"/>
      <c r="H2356" s="2"/>
      <c r="I2356" s="7"/>
      <c r="J2356" s="2"/>
      <c r="K2356" s="7"/>
      <c r="L2356" s="2"/>
      <c r="M2356" s="7"/>
    </row>
    <row r="2357" spans="1:13" ht="12.75">
      <c r="A2357" s="41" t="s">
        <v>75</v>
      </c>
      <c r="B2357" s="46"/>
      <c r="C2357" s="7"/>
      <c r="D2357" s="7"/>
      <c r="E2357" s="7">
        <f t="shared" si="45"/>
        <v>0</v>
      </c>
      <c r="F2357" s="7"/>
      <c r="G2357" s="7"/>
      <c r="H2357" s="2"/>
      <c r="I2357" s="7"/>
      <c r="J2357" s="2"/>
      <c r="K2357" s="7"/>
      <c r="L2357" s="2"/>
      <c r="M2357" s="7"/>
    </row>
    <row r="2358" spans="1:13" ht="12.75">
      <c r="A2358" s="41" t="s">
        <v>62</v>
      </c>
      <c r="B2358" s="46"/>
      <c r="C2358" s="7"/>
      <c r="D2358" s="7"/>
      <c r="E2358" s="7">
        <f t="shared" si="45"/>
        <v>0</v>
      </c>
      <c r="F2358" s="7"/>
      <c r="G2358" s="7"/>
      <c r="H2358" s="2"/>
      <c r="I2358" s="7"/>
      <c r="J2358" s="2"/>
      <c r="K2358" s="7"/>
      <c r="L2358" s="2"/>
      <c r="M2358" s="7"/>
    </row>
    <row r="2359" spans="1:13" ht="12.75">
      <c r="A2359" s="41" t="s">
        <v>63</v>
      </c>
      <c r="B2359" s="46"/>
      <c r="C2359" s="7"/>
      <c r="D2359" s="7"/>
      <c r="E2359" s="7">
        <f t="shared" si="45"/>
        <v>0</v>
      </c>
      <c r="F2359" s="7"/>
      <c r="G2359" s="7"/>
      <c r="H2359" s="2"/>
      <c r="I2359" s="7"/>
      <c r="J2359" s="2"/>
      <c r="K2359" s="7"/>
      <c r="L2359" s="2"/>
      <c r="M2359" s="7"/>
    </row>
    <row r="2360" spans="1:13" ht="12.75">
      <c r="A2360" s="41" t="s">
        <v>310</v>
      </c>
      <c r="B2360" s="46"/>
      <c r="C2360" s="7"/>
      <c r="D2360" s="7"/>
      <c r="E2360" s="7">
        <f t="shared" si="45"/>
        <v>100</v>
      </c>
      <c r="F2360" s="7"/>
      <c r="G2360" s="7"/>
      <c r="H2360" s="2"/>
      <c r="I2360" s="7"/>
      <c r="J2360" s="2"/>
      <c r="K2360" s="7">
        <v>100</v>
      </c>
      <c r="L2360" s="2"/>
      <c r="M2360" s="7"/>
    </row>
    <row r="2361" spans="1:13" ht="12.75">
      <c r="A2361" s="41" t="s">
        <v>51</v>
      </c>
      <c r="B2361" s="46"/>
      <c r="C2361" s="7"/>
      <c r="D2361" s="7"/>
      <c r="E2361" s="7">
        <f t="shared" si="45"/>
        <v>2556.84</v>
      </c>
      <c r="F2361" s="7"/>
      <c r="G2361" s="7"/>
      <c r="H2361" s="2"/>
      <c r="I2361" s="7">
        <v>2556.84</v>
      </c>
      <c r="J2361" s="2"/>
      <c r="K2361" s="7"/>
      <c r="L2361" s="2"/>
      <c r="M2361" s="7"/>
    </row>
    <row r="2362" spans="1:13" ht="12.75">
      <c r="A2362" s="58" t="s">
        <v>52</v>
      </c>
      <c r="B2362" s="46"/>
      <c r="C2362" s="7"/>
      <c r="D2362" s="7"/>
      <c r="E2362" s="7">
        <f t="shared" si="45"/>
        <v>0</v>
      </c>
      <c r="F2362" s="7"/>
      <c r="G2362" s="7"/>
      <c r="H2362" s="2"/>
      <c r="I2362" s="7"/>
      <c r="J2362" s="2"/>
      <c r="K2362" s="7"/>
      <c r="L2362" s="2"/>
      <c r="M2362" s="7"/>
    </row>
    <row r="2363" spans="1:13" ht="12.75">
      <c r="A2363" s="41" t="s">
        <v>80</v>
      </c>
      <c r="B2363" s="46"/>
      <c r="C2363" s="7"/>
      <c r="D2363" s="7"/>
      <c r="E2363" s="7">
        <f t="shared" si="45"/>
        <v>0</v>
      </c>
      <c r="F2363" s="7"/>
      <c r="G2363" s="7"/>
      <c r="H2363" s="2"/>
      <c r="I2363" s="7"/>
      <c r="J2363" s="2"/>
      <c r="K2363" s="7"/>
      <c r="L2363" s="2"/>
      <c r="M2363" s="7"/>
    </row>
    <row r="2364" spans="1:13" ht="12.75">
      <c r="A2364" s="41" t="s">
        <v>65</v>
      </c>
      <c r="B2364" s="46"/>
      <c r="C2364" s="7"/>
      <c r="D2364" s="7"/>
      <c r="E2364" s="7">
        <f t="shared" si="45"/>
        <v>0</v>
      </c>
      <c r="F2364" s="7"/>
      <c r="G2364" s="7"/>
      <c r="H2364" s="2"/>
      <c r="I2364" s="7"/>
      <c r="J2364" s="2"/>
      <c r="K2364" s="7"/>
      <c r="L2364" s="2"/>
      <c r="M2364" s="7"/>
    </row>
    <row r="2365" spans="1:13" ht="12.75">
      <c r="A2365" s="41" t="s">
        <v>57</v>
      </c>
      <c r="B2365" s="46"/>
      <c r="C2365" s="7"/>
      <c r="D2365" s="7"/>
      <c r="E2365" s="7">
        <f t="shared" si="45"/>
        <v>25.675162</v>
      </c>
      <c r="F2365" s="7"/>
      <c r="G2365" s="7"/>
      <c r="H2365" s="2"/>
      <c r="I2365" s="7">
        <f>0.0071*C2322</f>
        <v>25.675162</v>
      </c>
      <c r="J2365" s="2"/>
      <c r="K2365" s="7"/>
      <c r="L2365" s="2"/>
      <c r="M2365" s="7"/>
    </row>
    <row r="2366" spans="1:13" ht="12.75">
      <c r="A2366" s="41" t="s">
        <v>33</v>
      </c>
      <c r="B2366" s="46"/>
      <c r="C2366" s="7"/>
      <c r="D2366" s="7"/>
      <c r="E2366" s="7">
        <f t="shared" si="45"/>
        <v>3162</v>
      </c>
      <c r="F2366" s="15"/>
      <c r="G2366" s="7"/>
      <c r="H2366" s="2"/>
      <c r="I2366" s="7"/>
      <c r="J2366" s="2"/>
      <c r="K2366" s="7"/>
      <c r="L2366" s="2"/>
      <c r="M2366" s="7">
        <v>3162</v>
      </c>
    </row>
    <row r="2367" spans="1:13" ht="12.75">
      <c r="A2367" s="41" t="s">
        <v>50</v>
      </c>
      <c r="B2367" s="46"/>
      <c r="C2367" s="7"/>
      <c r="D2367" s="7"/>
      <c r="E2367" s="7">
        <f t="shared" si="45"/>
        <v>3966.547967</v>
      </c>
      <c r="F2367" s="7"/>
      <c r="G2367" s="7">
        <f>0.2455*C2322</f>
        <v>887.7820099999999</v>
      </c>
      <c r="H2367" s="2"/>
      <c r="I2367" s="7">
        <f>0.5802*C2322</f>
        <v>2098.1308440000003</v>
      </c>
      <c r="J2367" s="2"/>
      <c r="K2367" s="7">
        <f>0.1437*K2322</f>
        <v>520.566183</v>
      </c>
      <c r="L2367" s="2"/>
      <c r="M2367" s="7">
        <f>0.127*K2322</f>
        <v>460.06893</v>
      </c>
    </row>
    <row r="2368" spans="1:13" ht="13.5" thickBot="1">
      <c r="A2368" s="48" t="s">
        <v>54</v>
      </c>
      <c r="B2368" s="49"/>
      <c r="C2368" s="50"/>
      <c r="D2368" s="50"/>
      <c r="E2368" s="50">
        <f t="shared" si="45"/>
        <v>111.52608599999999</v>
      </c>
      <c r="F2368" s="50"/>
      <c r="G2368" s="50"/>
      <c r="H2368" s="22"/>
      <c r="I2368" s="50">
        <f>0.0078*C2322</f>
        <v>28.206515999999997</v>
      </c>
      <c r="J2368" s="22"/>
      <c r="K2368" s="50">
        <f>0.011*K2322</f>
        <v>39.84849</v>
      </c>
      <c r="L2368" s="22"/>
      <c r="M2368" s="50">
        <f>0.012*K2322</f>
        <v>43.47108</v>
      </c>
    </row>
    <row r="2369" spans="1:13" ht="13.5" thickBot="1">
      <c r="A2369" s="59" t="s">
        <v>10</v>
      </c>
      <c r="B2369" s="81"/>
      <c r="C2369" s="63"/>
      <c r="D2369" s="63"/>
      <c r="E2369" s="63">
        <f t="shared" si="45"/>
        <v>124469.10749230001</v>
      </c>
      <c r="F2369" s="63"/>
      <c r="G2369" s="63">
        <f>SUM(G2348:G2368)</f>
        <v>25566.550676199997</v>
      </c>
      <c r="H2369" s="26"/>
      <c r="I2369" s="63">
        <f>SUM(I2348:I2368)</f>
        <v>31446.202497399998</v>
      </c>
      <c r="J2369" s="26"/>
      <c r="K2369" s="63">
        <f>SUM(K2348:K2368)</f>
        <v>30770.505959000002</v>
      </c>
      <c r="L2369" s="26"/>
      <c r="M2369" s="29">
        <f>SUM(M2348:M2368)</f>
        <v>36685.84835970001</v>
      </c>
    </row>
    <row r="2370" spans="1:13" ht="12.75">
      <c r="A2370" s="60" t="s">
        <v>42</v>
      </c>
      <c r="B2370" s="55"/>
      <c r="C2370" s="66"/>
      <c r="D2370" s="66"/>
      <c r="E2370" s="56">
        <f t="shared" si="45"/>
        <v>0</v>
      </c>
      <c r="F2370" s="66"/>
      <c r="G2370" s="56"/>
      <c r="H2370" s="74"/>
      <c r="I2370" s="56"/>
      <c r="J2370" s="74"/>
      <c r="K2370" s="56"/>
      <c r="L2370" s="74"/>
      <c r="M2370" s="56"/>
    </row>
    <row r="2371" spans="1:13" ht="12.75">
      <c r="A2371" s="74" t="s">
        <v>428</v>
      </c>
      <c r="B2371" s="55"/>
      <c r="C2371" s="66"/>
      <c r="D2371" s="66"/>
      <c r="E2371" s="56">
        <f t="shared" si="45"/>
        <v>267.2</v>
      </c>
      <c r="F2371" s="66"/>
      <c r="G2371" s="56"/>
      <c r="H2371" s="74"/>
      <c r="I2371" s="56"/>
      <c r="J2371" s="74"/>
      <c r="K2371" s="56"/>
      <c r="L2371" s="74"/>
      <c r="M2371" s="56">
        <v>267.2</v>
      </c>
    </row>
    <row r="2372" spans="1:13" ht="12.75">
      <c r="A2372" s="41" t="s">
        <v>56</v>
      </c>
      <c r="B2372" s="46"/>
      <c r="C2372" s="7"/>
      <c r="D2372" s="7"/>
      <c r="E2372" s="56">
        <f t="shared" si="45"/>
        <v>0</v>
      </c>
      <c r="F2372" s="7"/>
      <c r="G2372" s="7"/>
      <c r="H2372" s="2"/>
      <c r="I2372" s="7"/>
      <c r="J2372" s="2"/>
      <c r="K2372" s="7"/>
      <c r="L2372" s="2"/>
      <c r="M2372" s="7"/>
    </row>
    <row r="2373" spans="1:13" ht="12.75">
      <c r="A2373" s="48" t="s">
        <v>350</v>
      </c>
      <c r="B2373" s="49"/>
      <c r="C2373" s="50"/>
      <c r="D2373" s="50"/>
      <c r="E2373" s="56">
        <f t="shared" si="45"/>
        <v>3805.83</v>
      </c>
      <c r="F2373" s="50"/>
      <c r="G2373" s="50"/>
      <c r="H2373" s="22"/>
      <c r="I2373" s="50"/>
      <c r="J2373" s="22"/>
      <c r="K2373" s="50">
        <v>3805.83</v>
      </c>
      <c r="L2373" s="22"/>
      <c r="M2373" s="50"/>
    </row>
    <row r="2374" spans="1:13" ht="13.5" thickBot="1">
      <c r="A2374" s="48" t="s">
        <v>16</v>
      </c>
      <c r="B2374" s="49"/>
      <c r="C2374" s="50"/>
      <c r="D2374" s="50"/>
      <c r="E2374" s="56">
        <f t="shared" si="45"/>
        <v>129.099054</v>
      </c>
      <c r="F2374" s="50"/>
      <c r="G2374" s="50">
        <f>0.0089*C2322</f>
        <v>32.184357999999996</v>
      </c>
      <c r="H2374" s="22"/>
      <c r="I2374" s="50"/>
      <c r="J2374" s="22"/>
      <c r="K2374" s="50"/>
      <c r="L2374" s="22"/>
      <c r="M2374" s="50">
        <f>0.0268*C2322</f>
        <v>96.91469599999999</v>
      </c>
    </row>
    <row r="2375" spans="1:13" ht="13.5" thickBot="1">
      <c r="A2375" s="62" t="s">
        <v>10</v>
      </c>
      <c r="B2375" s="81"/>
      <c r="C2375" s="63"/>
      <c r="D2375" s="63"/>
      <c r="E2375" s="63">
        <f t="shared" si="45"/>
        <v>4202.129054</v>
      </c>
      <c r="F2375" s="63"/>
      <c r="G2375" s="63">
        <f>SUM(G2372:G2374)</f>
        <v>32.184357999999996</v>
      </c>
      <c r="H2375" s="26"/>
      <c r="I2375" s="63"/>
      <c r="J2375" s="26"/>
      <c r="K2375" s="63">
        <f>SUM(K2372:K2374)</f>
        <v>3805.83</v>
      </c>
      <c r="L2375" s="26"/>
      <c r="M2375" s="29">
        <f>SUM(M2371:M2374)</f>
        <v>364.114696</v>
      </c>
    </row>
    <row r="2376" spans="1:13" ht="13.5" thickBot="1">
      <c r="A2376" s="64" t="s">
        <v>29</v>
      </c>
      <c r="B2376" s="81"/>
      <c r="C2376" s="63"/>
      <c r="D2376" s="63"/>
      <c r="E2376" s="63">
        <f t="shared" si="45"/>
        <v>8299.010234</v>
      </c>
      <c r="F2376" s="63"/>
      <c r="G2376" s="63">
        <f>0.4236*C2322</f>
        <v>1531.8307919999997</v>
      </c>
      <c r="H2376" s="26"/>
      <c r="I2376" s="63">
        <f>0.5971*C2322</f>
        <v>2159.2449619999998</v>
      </c>
      <c r="J2376" s="26"/>
      <c r="K2376" s="63"/>
      <c r="L2376" s="26"/>
      <c r="M2376" s="29">
        <f>1.272*K2322</f>
        <v>4607.93448</v>
      </c>
    </row>
    <row r="2377" spans="1:13" ht="21.75">
      <c r="A2377" s="65" t="s">
        <v>83</v>
      </c>
      <c r="B2377" s="61"/>
      <c r="C2377" s="56"/>
      <c r="D2377" s="56"/>
      <c r="E2377" s="56">
        <f t="shared" si="45"/>
        <v>408249.12871180003</v>
      </c>
      <c r="F2377" s="56"/>
      <c r="G2377" s="56">
        <f>G2346+G2369+G2375+G2376</f>
        <v>92163.09935899999</v>
      </c>
      <c r="H2377" s="74"/>
      <c r="I2377" s="56">
        <f>I2346+I2369+I2375+I2376</f>
        <v>110317.67915259999</v>
      </c>
      <c r="J2377" s="74"/>
      <c r="K2377" s="56">
        <f>K2346+K2369+K2375+K2376</f>
        <v>101376.78171920001</v>
      </c>
      <c r="L2377" s="74"/>
      <c r="M2377" s="56">
        <f>M2346+M2369+M2375+M2376</f>
        <v>104391.56848100001</v>
      </c>
    </row>
    <row r="2378" spans="1:13" ht="33.75">
      <c r="A2378" s="67" t="s">
        <v>84</v>
      </c>
      <c r="B2378" s="46"/>
      <c r="C2378" s="7"/>
      <c r="D2378" s="7"/>
      <c r="E2378" s="8">
        <f>E2377/12/C2322</f>
        <v>9.407823839806024</v>
      </c>
      <c r="F2378" s="7"/>
      <c r="G2378" s="8">
        <f>G2377/3/C2322</f>
        <v>8.495344066363955</v>
      </c>
      <c r="H2378" s="2"/>
      <c r="I2378" s="8">
        <f>I2377/3/C2322</f>
        <v>10.168783900739815</v>
      </c>
      <c r="J2378" s="2"/>
      <c r="K2378" s="8">
        <f>K2377/3/K2322</f>
        <v>9.328204564432262</v>
      </c>
      <c r="L2378" s="2"/>
      <c r="M2378" s="8">
        <f>M2377/3/K2322</f>
        <v>9.605610762925606</v>
      </c>
    </row>
    <row r="2379" spans="1:13" ht="12.75">
      <c r="A2379" s="69" t="s">
        <v>20</v>
      </c>
      <c r="B2379" s="44"/>
      <c r="C2379" s="45"/>
      <c r="D2379" s="45"/>
      <c r="E2379" s="45">
        <f>E2327-E2377</f>
        <v>42500.221288199944</v>
      </c>
      <c r="F2379" s="45"/>
      <c r="G2379" s="7">
        <f>G2327-G2377</f>
        <v>8231.990641000011</v>
      </c>
      <c r="H2379" s="2"/>
      <c r="I2379" s="7">
        <f>I2327-I2377+G2379</f>
        <v>7959.43148840002</v>
      </c>
      <c r="J2379" s="2"/>
      <c r="K2379" s="7">
        <f>K2327-K2377+I2379</f>
        <v>20602.139769200017</v>
      </c>
      <c r="L2379" s="2"/>
      <c r="M2379" s="7">
        <f>M2327-M2377+K2379</f>
        <v>42500.2212882</v>
      </c>
    </row>
    <row r="2380" spans="1:13" ht="12.75">
      <c r="A2380" s="14" t="s">
        <v>24</v>
      </c>
      <c r="B2380" s="14"/>
      <c r="C2380" s="14"/>
      <c r="D2380" s="14"/>
      <c r="E2380" s="14"/>
      <c r="F2380" s="14"/>
      <c r="G2380" s="21"/>
      <c r="H2380" s="14"/>
      <c r="I2380" s="14"/>
      <c r="J2380" s="14"/>
      <c r="K2380" s="14"/>
      <c r="L2380" s="14"/>
      <c r="M2380" s="14"/>
    </row>
    <row r="2381" spans="1:13" ht="12.75">
      <c r="A2381" s="14" t="s">
        <v>35</v>
      </c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</row>
    <row r="2382" spans="1:13" ht="12.75">
      <c r="A2382" s="14" t="s">
        <v>25</v>
      </c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</row>
    <row r="2383" spans="1:13" ht="12.75">
      <c r="A2383" s="14"/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</row>
    <row r="2384" spans="1:13" ht="12.75">
      <c r="A2384" s="14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</row>
    <row r="2385" spans="1:13" ht="12.75">
      <c r="A2385" s="14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</row>
    <row r="2386" spans="1:13" ht="12.75">
      <c r="A2386" s="14"/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</row>
    <row r="2387" spans="1:13" ht="12.75">
      <c r="A2387" s="14"/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</row>
    <row r="2388" spans="1:13" ht="12.75">
      <c r="A2388" s="14"/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</row>
    <row r="2389" spans="1:13" ht="12.75">
      <c r="A2389" s="14"/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</row>
    <row r="2390" spans="1:13" ht="12.75">
      <c r="A2390" s="14"/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</row>
    <row r="2391" spans="1:13" ht="12.75">
      <c r="A2391" s="14"/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</row>
    <row r="2392" spans="1:13" ht="12.75">
      <c r="A2392" s="14"/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</row>
    <row r="2393" spans="1:13" ht="12.75">
      <c r="A2393" s="14"/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</row>
    <row r="2394" spans="1:13" ht="12.75">
      <c r="A2394" s="14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</row>
    <row r="2395" spans="1:13" ht="12.75">
      <c r="A2395" s="14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</row>
    <row r="2396" spans="1:13" ht="12.75">
      <c r="A2396" s="14"/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</row>
    <row r="2397" spans="1:13" ht="1.5" customHeight="1">
      <c r="A2397" s="14"/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</row>
    <row r="2398" spans="1:13" ht="12.75" hidden="1">
      <c r="A2398" s="14"/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</row>
    <row r="2399" spans="1:13" ht="12.75" hidden="1">
      <c r="A2399" s="14"/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</row>
    <row r="2400" spans="1:13" ht="12.75" hidden="1">
      <c r="A2400" s="14"/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</row>
    <row r="2401" spans="1:13" ht="12.75" hidden="1">
      <c r="A2401" s="14"/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</row>
    <row r="2402" spans="1:13" ht="12.75" hidden="1">
      <c r="A2402" s="14"/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</row>
    <row r="2403" spans="1:13" ht="12.75" hidden="1">
      <c r="A2403" s="14"/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</row>
    <row r="2404" spans="1:13" ht="12.75" hidden="1">
      <c r="A2404" s="14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</row>
    <row r="2405" spans="1:13" ht="12.75" hidden="1">
      <c r="A2405" s="14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</row>
    <row r="2406" spans="1:13" ht="12.75">
      <c r="A2406" s="31" t="s">
        <v>21</v>
      </c>
      <c r="B2406" s="31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</row>
    <row r="2407" spans="1:13" ht="12.75">
      <c r="A2407" s="14" t="s">
        <v>31</v>
      </c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</row>
    <row r="2408" spans="1:13" ht="12.75">
      <c r="A2408" s="14" t="s">
        <v>41</v>
      </c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</row>
    <row r="2409" spans="1:13" ht="12.75">
      <c r="A2409" s="14" t="s">
        <v>126</v>
      </c>
      <c r="B2409" s="14"/>
      <c r="C2409" s="14"/>
      <c r="D2409" s="14"/>
      <c r="E2409" s="14" t="s">
        <v>32</v>
      </c>
      <c r="F2409" s="14"/>
      <c r="G2409" s="14"/>
      <c r="H2409" s="14"/>
      <c r="I2409" s="14"/>
      <c r="J2409" s="14"/>
      <c r="K2409" s="14"/>
      <c r="L2409" s="14"/>
      <c r="M2409" s="14"/>
    </row>
    <row r="2410" spans="1:13" ht="12.75" customHeight="1">
      <c r="A2410" s="6" t="s">
        <v>0</v>
      </c>
      <c r="B2410" s="151" t="s">
        <v>38</v>
      </c>
      <c r="C2410" s="152"/>
      <c r="D2410" s="149" t="s">
        <v>39</v>
      </c>
      <c r="E2410" s="150"/>
      <c r="F2410" s="149" t="s">
        <v>96</v>
      </c>
      <c r="G2410" s="150"/>
      <c r="H2410" s="149" t="s">
        <v>97</v>
      </c>
      <c r="I2410" s="150"/>
      <c r="J2410" s="149" t="s">
        <v>98</v>
      </c>
      <c r="K2410" s="150"/>
      <c r="L2410" s="149" t="s">
        <v>99</v>
      </c>
      <c r="M2410" s="150"/>
    </row>
    <row r="2411" spans="1:13" ht="12.75">
      <c r="A2411" s="11" t="s">
        <v>5</v>
      </c>
      <c r="B2411" s="153"/>
      <c r="C2411" s="154"/>
      <c r="D2411" s="6" t="s">
        <v>40</v>
      </c>
      <c r="E2411" s="6" t="s">
        <v>22</v>
      </c>
      <c r="F2411" s="6" t="s">
        <v>40</v>
      </c>
      <c r="G2411" s="13" t="s">
        <v>22</v>
      </c>
      <c r="H2411" s="2"/>
      <c r="I2411" s="2"/>
      <c r="J2411" s="2"/>
      <c r="K2411" s="2"/>
      <c r="L2411" s="2"/>
      <c r="M2411" s="2"/>
    </row>
    <row r="2412" spans="1:13" ht="12.75">
      <c r="A2412" s="2" t="s">
        <v>1</v>
      </c>
      <c r="B2412" s="2"/>
      <c r="C2412" s="6">
        <v>5</v>
      </c>
      <c r="D2412" s="2"/>
      <c r="E2412" s="2"/>
      <c r="F2412" s="2"/>
      <c r="G2412" s="2"/>
      <c r="H2412" s="2"/>
      <c r="I2412" s="2"/>
      <c r="J2412" s="2"/>
      <c r="K2412" s="2"/>
      <c r="L2412" s="2"/>
      <c r="M2412" s="2"/>
    </row>
    <row r="2413" spans="1:13" ht="12.75">
      <c r="A2413" s="2" t="s">
        <v>2</v>
      </c>
      <c r="B2413" s="2"/>
      <c r="C2413" s="6">
        <v>6</v>
      </c>
      <c r="D2413" s="2"/>
      <c r="E2413" s="2"/>
      <c r="F2413" s="2"/>
      <c r="G2413" s="2"/>
      <c r="H2413" s="2"/>
      <c r="I2413" s="2"/>
      <c r="J2413" s="2"/>
      <c r="K2413" s="2"/>
      <c r="L2413" s="2"/>
      <c r="M2413" s="2"/>
    </row>
    <row r="2414" spans="1:13" ht="12.75">
      <c r="A2414" s="2" t="s">
        <v>3</v>
      </c>
      <c r="B2414" s="2"/>
      <c r="C2414" s="6">
        <v>60</v>
      </c>
      <c r="D2414" s="2"/>
      <c r="E2414" s="2"/>
      <c r="F2414" s="2"/>
      <c r="G2414" s="2"/>
      <c r="H2414" s="2"/>
      <c r="I2414" s="2"/>
      <c r="J2414" s="2"/>
      <c r="K2414" s="2"/>
      <c r="L2414" s="2"/>
      <c r="M2414" s="2"/>
    </row>
    <row r="2415" spans="1:13" ht="12.75">
      <c r="A2415" s="2" t="s">
        <v>4</v>
      </c>
      <c r="B2415" s="6"/>
      <c r="C2415" s="6">
        <v>3649.52</v>
      </c>
      <c r="D2415" s="6"/>
      <c r="E2415" s="6"/>
      <c r="F2415" s="6"/>
      <c r="G2415" s="2"/>
      <c r="H2415" s="2"/>
      <c r="I2415" s="2"/>
      <c r="J2415" s="2"/>
      <c r="K2415" s="2">
        <v>3648.11</v>
      </c>
      <c r="L2415" s="2"/>
      <c r="M2415" s="2"/>
    </row>
    <row r="2416" spans="1:13" ht="21.75">
      <c r="A2416" s="35" t="s">
        <v>6</v>
      </c>
      <c r="B2416" s="11" t="s">
        <v>40</v>
      </c>
      <c r="C2416" s="2" t="s">
        <v>22</v>
      </c>
      <c r="D2416" s="2"/>
      <c r="E2416" s="2"/>
      <c r="F2416" s="2"/>
      <c r="G2416" s="2"/>
      <c r="H2416" s="2"/>
      <c r="I2416" s="2"/>
      <c r="J2416" s="2"/>
      <c r="K2416" s="2"/>
      <c r="L2416" s="2"/>
      <c r="M2416" s="2"/>
    </row>
    <row r="2417" spans="1:13" ht="22.5">
      <c r="A2417" s="40" t="s">
        <v>7</v>
      </c>
      <c r="B2417" s="3"/>
      <c r="C2417" s="6"/>
      <c r="D2417" s="6"/>
      <c r="E2417" s="6">
        <f>G2417+I2417+K2417+M2417</f>
        <v>413807.44</v>
      </c>
      <c r="F2417" s="2"/>
      <c r="G2417" s="2">
        <v>99041.21</v>
      </c>
      <c r="H2417" s="2"/>
      <c r="I2417" s="2">
        <v>105791.11</v>
      </c>
      <c r="J2417" s="2"/>
      <c r="K2417" s="2">
        <v>111072.42</v>
      </c>
      <c r="L2417" s="2"/>
      <c r="M2417" s="2">
        <v>97902.7</v>
      </c>
    </row>
    <row r="2418" spans="1:13" ht="12.75">
      <c r="A2418" s="41" t="s">
        <v>8</v>
      </c>
      <c r="B2418" s="3"/>
      <c r="C2418" s="6"/>
      <c r="D2418" s="6"/>
      <c r="E2418" s="6"/>
      <c r="F2418" s="2"/>
      <c r="G2418" s="2"/>
      <c r="H2418" s="2"/>
      <c r="I2418" s="2"/>
      <c r="J2418" s="2"/>
      <c r="K2418" s="2"/>
      <c r="L2418" s="2"/>
      <c r="M2418" s="2"/>
    </row>
    <row r="2419" spans="1:13" ht="12.75">
      <c r="A2419" s="41" t="s">
        <v>9</v>
      </c>
      <c r="B2419" s="3"/>
      <c r="C2419" s="6"/>
      <c r="D2419" s="6"/>
      <c r="E2419" s="6"/>
      <c r="F2419" s="2"/>
      <c r="G2419" s="2"/>
      <c r="H2419" s="2"/>
      <c r="I2419" s="2"/>
      <c r="J2419" s="2"/>
      <c r="K2419" s="2"/>
      <c r="L2419" s="2"/>
      <c r="M2419" s="2"/>
    </row>
    <row r="2420" spans="1:13" ht="12.75">
      <c r="A2420" s="2" t="s">
        <v>10</v>
      </c>
      <c r="B2420" s="42"/>
      <c r="C2420" s="11"/>
      <c r="D2420" s="11"/>
      <c r="E2420" s="11">
        <f>SUM(E2417:E2419)</f>
        <v>413807.44</v>
      </c>
      <c r="F2420" s="37"/>
      <c r="G2420" s="37">
        <f>SUM(G2417:G2419)</f>
        <v>99041.21</v>
      </c>
      <c r="H2420" s="2"/>
      <c r="I2420" s="2">
        <f>SUM(I2417:I2419)</f>
        <v>105791.11</v>
      </c>
      <c r="J2420" s="2"/>
      <c r="K2420" s="2">
        <f>SUM(K2417:K2419)</f>
        <v>111072.42</v>
      </c>
      <c r="L2420" s="2"/>
      <c r="M2420" s="2">
        <f>SUM(M2417:M2419)</f>
        <v>97902.7</v>
      </c>
    </row>
    <row r="2421" spans="1:13" ht="21.75">
      <c r="A2421" s="35" t="s">
        <v>82</v>
      </c>
      <c r="B2421" s="4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</row>
    <row r="2422" spans="1:13" ht="12.75">
      <c r="A2422" s="43" t="s">
        <v>11</v>
      </c>
      <c r="B2422" s="44"/>
      <c r="C2422" s="45"/>
      <c r="D2422" s="45"/>
      <c r="E2422" s="45">
        <f>G2422+I2422+K2422+M2422</f>
        <v>119026.4883184</v>
      </c>
      <c r="F2422" s="45"/>
      <c r="G2422" s="45">
        <f>7.99407*C2415</f>
        <v>29174.5183464</v>
      </c>
      <c r="H2422" s="2"/>
      <c r="I2422" s="7">
        <f>9.57707*C2415</f>
        <v>34951.708506400006</v>
      </c>
      <c r="J2422" s="2"/>
      <c r="K2422" s="7">
        <f>7.32829*K2415</f>
        <v>26734.408031900002</v>
      </c>
      <c r="L2422" s="2"/>
      <c r="M2422" s="7">
        <f>7.72067*K2415</f>
        <v>28165.853433700002</v>
      </c>
    </row>
    <row r="2423" spans="1:13" ht="12.75">
      <c r="A2423" s="43" t="s">
        <v>12</v>
      </c>
      <c r="B2423" s="46"/>
      <c r="C2423" s="7"/>
      <c r="D2423" s="7"/>
      <c r="E2423" s="7">
        <f aca="true" t="shared" si="46" ref="E2423:E2472">G2423+I2423+K2423+M2423</f>
        <v>0</v>
      </c>
      <c r="F2423" s="7"/>
      <c r="G2423" s="7"/>
      <c r="H2423" s="2"/>
      <c r="I2423" s="7"/>
      <c r="J2423" s="2"/>
      <c r="K2423" s="7"/>
      <c r="L2423" s="2"/>
      <c r="M2423" s="7"/>
    </row>
    <row r="2424" spans="1:13" ht="12.75">
      <c r="A2424" s="41" t="s">
        <v>13</v>
      </c>
      <c r="B2424" s="46"/>
      <c r="C2424" s="7"/>
      <c r="D2424" s="7"/>
      <c r="E2424" s="45">
        <f t="shared" si="46"/>
        <v>152965.1516071</v>
      </c>
      <c r="F2424" s="45"/>
      <c r="G2424" s="45">
        <f>G2425+G2427+G2428+G2429+G2431+G2432+G2433+G2434+G2435+G2436+G2437</f>
        <v>37257.267778400004</v>
      </c>
      <c r="H2424" s="2"/>
      <c r="I2424" s="7">
        <f>I2425+I2427+I2428+I2429+I2431+I2432+I2433+I2434+I2435+I2436+I2437</f>
        <v>41213.4059848</v>
      </c>
      <c r="J2424" s="2"/>
      <c r="K2424" s="7">
        <f>K2425+K2427+K2428+K2429+K2430+K2431+K2432+K2433+K2434+K2435+K2436+K2437</f>
        <v>39545.52955390001</v>
      </c>
      <c r="L2424" s="2"/>
      <c r="M2424" s="7">
        <f>M2425+M2427+M2428+M2429+M2430+M2431+M2432+M2433+M2434+M2435+M2436+M2437</f>
        <v>34948.94829</v>
      </c>
    </row>
    <row r="2425" spans="1:13" ht="12.75">
      <c r="A2425" s="47" t="s">
        <v>14</v>
      </c>
      <c r="B2425" s="46"/>
      <c r="C2425" s="71"/>
      <c r="D2425" s="7"/>
      <c r="E2425" s="7">
        <f t="shared" si="46"/>
        <v>134022</v>
      </c>
      <c r="F2425" s="7"/>
      <c r="G2425" s="7">
        <v>34628</v>
      </c>
      <c r="H2425" s="2"/>
      <c r="I2425" s="7">
        <v>33548</v>
      </c>
      <c r="J2425" s="2"/>
      <c r="K2425" s="7">
        <v>35137</v>
      </c>
      <c r="L2425" s="2"/>
      <c r="M2425" s="7">
        <v>30709</v>
      </c>
    </row>
    <row r="2426" spans="1:13" ht="12.75">
      <c r="A2426" s="41" t="s">
        <v>19</v>
      </c>
      <c r="B2426" s="46"/>
      <c r="C2426" s="71"/>
      <c r="D2426" s="7"/>
      <c r="E2426" s="7">
        <f t="shared" si="46"/>
        <v>89790</v>
      </c>
      <c r="F2426" s="7"/>
      <c r="G2426" s="7">
        <v>22459</v>
      </c>
      <c r="H2426" s="2"/>
      <c r="I2426" s="7">
        <v>22459</v>
      </c>
      <c r="J2426" s="2"/>
      <c r="K2426" s="7">
        <v>22436</v>
      </c>
      <c r="L2426" s="2"/>
      <c r="M2426" s="7">
        <v>22436</v>
      </c>
    </row>
    <row r="2427" spans="1:13" ht="12.75">
      <c r="A2427" s="41" t="s">
        <v>18</v>
      </c>
      <c r="B2427" s="46"/>
      <c r="C2427" s="7"/>
      <c r="D2427" s="7"/>
      <c r="E2427" s="7">
        <f>G2427+I2427+K2428+M2427</f>
        <v>3161.9181789</v>
      </c>
      <c r="F2427" s="7"/>
      <c r="G2427" s="7">
        <v>212.72</v>
      </c>
      <c r="H2427" s="2"/>
      <c r="I2427" s="7">
        <v>299.38</v>
      </c>
      <c r="J2427" s="2"/>
      <c r="K2427" s="132">
        <v>405.41</v>
      </c>
      <c r="L2427" s="2"/>
      <c r="M2427" s="7">
        <v>439.1</v>
      </c>
    </row>
    <row r="2428" spans="1:13" ht="12.75">
      <c r="A2428" s="41" t="s">
        <v>53</v>
      </c>
      <c r="B2428" s="46"/>
      <c r="C2428" s="7"/>
      <c r="D2428" s="7"/>
      <c r="E2428" s="7">
        <f>G2428+I2428+K2428+M2428</f>
        <v>7020.667520100001</v>
      </c>
      <c r="F2428" s="7"/>
      <c r="G2428" s="7">
        <f>0.54857*C2415</f>
        <v>2002.0171864</v>
      </c>
      <c r="H2428" s="2"/>
      <c r="I2428" s="7">
        <f>0.53049*C2415</f>
        <v>1936.0338648</v>
      </c>
      <c r="J2428" s="2"/>
      <c r="K2428" s="7">
        <f>0.60599*K2415</f>
        <v>2210.7181789</v>
      </c>
      <c r="L2428" s="2"/>
      <c r="M2428" s="7">
        <f>0.239*K2415</f>
        <v>871.89829</v>
      </c>
    </row>
    <row r="2429" spans="1:13" ht="12.75">
      <c r="A2429" s="41" t="s">
        <v>148</v>
      </c>
      <c r="B2429" s="46"/>
      <c r="C2429" s="7"/>
      <c r="D2429" s="7"/>
      <c r="E2429" s="7">
        <f t="shared" si="46"/>
        <v>343</v>
      </c>
      <c r="F2429" s="7"/>
      <c r="G2429" s="7">
        <v>343</v>
      </c>
      <c r="H2429" s="2"/>
      <c r="I2429" s="7"/>
      <c r="J2429" s="2"/>
      <c r="K2429" s="7"/>
      <c r="L2429" s="2"/>
      <c r="M2429" s="7"/>
    </row>
    <row r="2430" spans="1:13" ht="12.75">
      <c r="A2430" s="41" t="s">
        <v>248</v>
      </c>
      <c r="B2430" s="46"/>
      <c r="C2430" s="7"/>
      <c r="D2430" s="7"/>
      <c r="E2430" s="7"/>
      <c r="F2430" s="7"/>
      <c r="G2430" s="7"/>
      <c r="H2430" s="2"/>
      <c r="I2430" s="7"/>
      <c r="J2430" s="2"/>
      <c r="K2430" s="7">
        <v>1746.8</v>
      </c>
      <c r="L2430" s="2"/>
      <c r="M2430" s="7"/>
    </row>
    <row r="2431" spans="1:13" ht="12.75">
      <c r="A2431" s="41" t="s">
        <v>27</v>
      </c>
      <c r="B2431" s="46"/>
      <c r="C2431" s="7"/>
      <c r="D2431" s="7"/>
      <c r="E2431" s="7">
        <f t="shared" si="46"/>
        <v>958</v>
      </c>
      <c r="F2431" s="7"/>
      <c r="G2431" s="7"/>
      <c r="H2431" s="2"/>
      <c r="I2431" s="7">
        <v>958</v>
      </c>
      <c r="J2431" s="2"/>
      <c r="K2431" s="7"/>
      <c r="L2431" s="2"/>
      <c r="M2431" s="7"/>
    </row>
    <row r="2432" spans="1:13" ht="12.75">
      <c r="A2432" s="41" t="s">
        <v>36</v>
      </c>
      <c r="B2432" s="46"/>
      <c r="C2432" s="7"/>
      <c r="D2432" s="7"/>
      <c r="E2432" s="7">
        <f t="shared" si="46"/>
        <v>4565.95</v>
      </c>
      <c r="F2432" s="7"/>
      <c r="G2432" s="7"/>
      <c r="H2432" s="2" t="s">
        <v>258</v>
      </c>
      <c r="I2432" s="7">
        <v>1637</v>
      </c>
      <c r="J2432" s="2"/>
      <c r="K2432" s="7"/>
      <c r="L2432" s="2" t="s">
        <v>208</v>
      </c>
      <c r="M2432" s="7">
        <v>2928.95</v>
      </c>
    </row>
    <row r="2433" spans="1:13" ht="12.75">
      <c r="A2433" s="41" t="s">
        <v>58</v>
      </c>
      <c r="B2433" s="46"/>
      <c r="C2433" s="7"/>
      <c r="D2433" s="7"/>
      <c r="E2433" s="7">
        <f t="shared" si="46"/>
        <v>0</v>
      </c>
      <c r="F2433" s="7"/>
      <c r="G2433" s="7"/>
      <c r="H2433" s="2"/>
      <c r="I2433" s="7"/>
      <c r="J2433" s="2"/>
      <c r="K2433" s="7"/>
      <c r="L2433" s="2"/>
      <c r="M2433" s="7"/>
    </row>
    <row r="2434" spans="1:13" ht="12.75">
      <c r="A2434" s="41" t="s">
        <v>43</v>
      </c>
      <c r="B2434" s="46"/>
      <c r="C2434" s="7"/>
      <c r="D2434" s="7"/>
      <c r="E2434" s="7">
        <f t="shared" si="46"/>
        <v>0</v>
      </c>
      <c r="F2434" s="7"/>
      <c r="G2434" s="7"/>
      <c r="H2434" s="2"/>
      <c r="I2434" s="7"/>
      <c r="J2434" s="2"/>
      <c r="K2434" s="7"/>
      <c r="L2434" s="2"/>
      <c r="M2434" s="7"/>
    </row>
    <row r="2435" spans="1:13" ht="12.75">
      <c r="A2435" s="41" t="s">
        <v>30</v>
      </c>
      <c r="B2435" s="46"/>
      <c r="C2435" s="7"/>
      <c r="D2435" s="7"/>
      <c r="E2435" s="7">
        <f t="shared" si="46"/>
        <v>2585</v>
      </c>
      <c r="F2435" s="7"/>
      <c r="G2435" s="7"/>
      <c r="H2435" s="2"/>
      <c r="I2435" s="7">
        <v>2585</v>
      </c>
      <c r="J2435" s="2"/>
      <c r="K2435" s="7"/>
      <c r="L2435" s="2"/>
      <c r="M2435" s="7"/>
    </row>
    <row r="2436" spans="1:13" ht="12.75">
      <c r="A2436" s="41" t="s">
        <v>54</v>
      </c>
      <c r="B2436" s="46"/>
      <c r="C2436" s="7"/>
      <c r="D2436" s="7"/>
      <c r="E2436" s="7">
        <f t="shared" si="46"/>
        <v>71.530592</v>
      </c>
      <c r="F2436" s="7"/>
      <c r="G2436" s="7">
        <f>0.0196*C2415</f>
        <v>71.530592</v>
      </c>
      <c r="H2436" s="2"/>
      <c r="I2436" s="7"/>
      <c r="J2436" s="2"/>
      <c r="K2436" s="7"/>
      <c r="L2436" s="2"/>
      <c r="M2436" s="7"/>
    </row>
    <row r="2437" spans="1:13" ht="13.5" thickBot="1">
      <c r="A2437" s="48" t="s">
        <v>55</v>
      </c>
      <c r="B2437" s="49"/>
      <c r="C2437" s="50"/>
      <c r="D2437" s="50"/>
      <c r="E2437" s="50">
        <f t="shared" si="46"/>
        <v>295.593495</v>
      </c>
      <c r="F2437" s="50"/>
      <c r="G2437" s="50"/>
      <c r="H2437" s="22"/>
      <c r="I2437" s="50">
        <f>0.0685*C2415</f>
        <v>249.99212000000003</v>
      </c>
      <c r="J2437" s="22"/>
      <c r="K2437" s="50">
        <f>0.0125*K2415</f>
        <v>45.601375000000004</v>
      </c>
      <c r="L2437" s="22"/>
      <c r="M2437" s="50"/>
    </row>
    <row r="2438" spans="1:13" ht="13.5" thickBot="1">
      <c r="A2438" s="106" t="s">
        <v>76</v>
      </c>
      <c r="B2438" s="81"/>
      <c r="C2438" s="63"/>
      <c r="D2438" s="63"/>
      <c r="E2438" s="63">
        <f t="shared" si="46"/>
        <v>271991.6399255</v>
      </c>
      <c r="F2438" s="63"/>
      <c r="G2438" s="63">
        <f>G2422+G2424</f>
        <v>66431.78612480001</v>
      </c>
      <c r="H2438" s="26"/>
      <c r="I2438" s="63">
        <f>I2422+I2424</f>
        <v>76165.11449120002</v>
      </c>
      <c r="J2438" s="26"/>
      <c r="K2438" s="63">
        <f>K2422+K2424</f>
        <v>66279.93758580001</v>
      </c>
      <c r="L2438" s="26"/>
      <c r="M2438" s="29">
        <f>M2422+M2424</f>
        <v>63114.8017237</v>
      </c>
    </row>
    <row r="2439" spans="1:13" ht="12" customHeight="1">
      <c r="A2439" s="54" t="s">
        <v>15</v>
      </c>
      <c r="B2439" s="55"/>
      <c r="C2439" s="66"/>
      <c r="D2439" s="66"/>
      <c r="E2439" s="56">
        <f t="shared" si="46"/>
        <v>0</v>
      </c>
      <c r="F2439" s="66"/>
      <c r="G2439" s="56"/>
      <c r="H2439" s="74"/>
      <c r="I2439" s="56"/>
      <c r="J2439" s="74"/>
      <c r="K2439" s="56"/>
      <c r="L2439" s="74"/>
      <c r="M2439" s="56"/>
    </row>
    <row r="2440" spans="1:13" ht="12.75">
      <c r="A2440" s="41" t="s">
        <v>17</v>
      </c>
      <c r="B2440" s="46"/>
      <c r="C2440" s="7"/>
      <c r="D2440" s="7"/>
      <c r="E2440" s="7">
        <f t="shared" si="46"/>
        <v>103156.9732909</v>
      </c>
      <c r="F2440" s="7"/>
      <c r="G2440" s="7">
        <f>6.73321*C2415</f>
        <v>24572.9845592</v>
      </c>
      <c r="H2440" s="2"/>
      <c r="I2440" s="7">
        <f>7.02207*C2415</f>
        <v>25627.1849064</v>
      </c>
      <c r="J2440" s="2"/>
      <c r="K2440" s="7">
        <f>7.2754*K2415</f>
        <v>26541.459494000002</v>
      </c>
      <c r="L2440" s="2"/>
      <c r="M2440" s="7">
        <f>7.24083*K2415</f>
        <v>26415.3443313</v>
      </c>
    </row>
    <row r="2441" spans="1:13" ht="12.75">
      <c r="A2441" s="41" t="s">
        <v>34</v>
      </c>
      <c r="B2441" s="46"/>
      <c r="C2441" s="71"/>
      <c r="D2441" s="7"/>
      <c r="E2441" s="7">
        <f t="shared" si="46"/>
        <v>0</v>
      </c>
      <c r="F2441" s="7"/>
      <c r="G2441" s="7"/>
      <c r="H2441" s="2"/>
      <c r="I2441" s="7"/>
      <c r="J2441" s="2"/>
      <c r="K2441" s="7"/>
      <c r="L2441" s="2"/>
      <c r="M2441" s="7"/>
    </row>
    <row r="2442" spans="1:13" ht="12.75">
      <c r="A2442" s="41" t="s">
        <v>67</v>
      </c>
      <c r="B2442" s="46"/>
      <c r="C2442" s="7"/>
      <c r="D2442" s="7"/>
      <c r="E2442" s="7">
        <f t="shared" si="46"/>
        <v>142</v>
      </c>
      <c r="F2442" s="7"/>
      <c r="G2442" s="7"/>
      <c r="H2442" s="2"/>
      <c r="I2442" s="7"/>
      <c r="J2442" s="2"/>
      <c r="K2442" s="7"/>
      <c r="L2442" s="2"/>
      <c r="M2442" s="7">
        <v>142</v>
      </c>
    </row>
    <row r="2443" spans="1:13" ht="12.75">
      <c r="A2443" s="41" t="s">
        <v>68</v>
      </c>
      <c r="B2443" s="46"/>
      <c r="C2443" s="7"/>
      <c r="D2443" s="7"/>
      <c r="E2443" s="7">
        <f t="shared" si="46"/>
        <v>0</v>
      </c>
      <c r="F2443" s="7"/>
      <c r="G2443" s="7"/>
      <c r="H2443" s="2"/>
      <c r="I2443" s="7"/>
      <c r="J2443" s="2"/>
      <c r="K2443" s="7"/>
      <c r="L2443" s="2"/>
      <c r="M2443" s="7"/>
    </row>
    <row r="2444" spans="1:13" ht="12.75">
      <c r="A2444" s="41" t="s">
        <v>69</v>
      </c>
      <c r="B2444" s="46"/>
      <c r="C2444" s="7"/>
      <c r="D2444" s="7"/>
      <c r="E2444" s="7">
        <f t="shared" si="46"/>
        <v>0</v>
      </c>
      <c r="F2444" s="7"/>
      <c r="G2444" s="7"/>
      <c r="H2444" s="2"/>
      <c r="I2444" s="7"/>
      <c r="J2444" s="2"/>
      <c r="K2444" s="7"/>
      <c r="L2444" s="2"/>
      <c r="M2444" s="7"/>
    </row>
    <row r="2445" spans="1:13" ht="12.75">
      <c r="A2445" s="41" t="s">
        <v>26</v>
      </c>
      <c r="B2445" s="46"/>
      <c r="C2445" s="7"/>
      <c r="D2445" s="7"/>
      <c r="E2445" s="7">
        <f t="shared" si="46"/>
        <v>447</v>
      </c>
      <c r="F2445" s="7"/>
      <c r="G2445" s="7"/>
      <c r="H2445" s="2"/>
      <c r="I2445" s="7"/>
      <c r="J2445" s="2"/>
      <c r="K2445" s="7"/>
      <c r="L2445" s="2"/>
      <c r="M2445" s="7">
        <v>447</v>
      </c>
    </row>
    <row r="2446" spans="1:13" ht="12.75">
      <c r="A2446" s="41" t="s">
        <v>28</v>
      </c>
      <c r="B2446" s="46"/>
      <c r="C2446" s="7"/>
      <c r="D2446" s="7"/>
      <c r="E2446" s="7">
        <f t="shared" si="46"/>
        <v>210</v>
      </c>
      <c r="F2446" s="7"/>
      <c r="G2446" s="7"/>
      <c r="H2446" s="2"/>
      <c r="I2446" s="7"/>
      <c r="J2446" s="2"/>
      <c r="K2446" s="7"/>
      <c r="L2446" s="2"/>
      <c r="M2446" s="7">
        <v>210</v>
      </c>
    </row>
    <row r="2447" spans="1:13" ht="12.75">
      <c r="A2447" s="41" t="s">
        <v>291</v>
      </c>
      <c r="B2447" s="46"/>
      <c r="C2447" s="7"/>
      <c r="D2447" s="7"/>
      <c r="E2447" s="7"/>
      <c r="F2447" s="7"/>
      <c r="G2447" s="7"/>
      <c r="H2447" s="2"/>
      <c r="I2447" s="7"/>
      <c r="J2447" s="2"/>
      <c r="K2447" s="7">
        <v>560</v>
      </c>
      <c r="L2447" s="2"/>
      <c r="M2447" s="7"/>
    </row>
    <row r="2448" spans="1:13" ht="12.75">
      <c r="A2448" s="41" t="s">
        <v>60</v>
      </c>
      <c r="B2448" s="46"/>
      <c r="C2448" s="7"/>
      <c r="D2448" s="7"/>
      <c r="E2448" s="7">
        <f t="shared" si="46"/>
        <v>0</v>
      </c>
      <c r="F2448" s="7"/>
      <c r="G2448" s="7"/>
      <c r="H2448" s="2"/>
      <c r="I2448" s="7"/>
      <c r="J2448" s="2"/>
      <c r="K2448" s="7"/>
      <c r="L2448" s="2"/>
      <c r="M2448" s="7"/>
    </row>
    <row r="2449" spans="1:13" ht="12.75">
      <c r="A2449" s="41" t="s">
        <v>259</v>
      </c>
      <c r="B2449" s="46"/>
      <c r="C2449" s="7"/>
      <c r="D2449" s="7"/>
      <c r="E2449" s="7">
        <f t="shared" si="46"/>
        <v>28350</v>
      </c>
      <c r="F2449" s="7"/>
      <c r="G2449" s="7"/>
      <c r="H2449" s="2"/>
      <c r="I2449" s="7">
        <v>13210</v>
      </c>
      <c r="J2449" s="2"/>
      <c r="K2449" s="7">
        <v>15140</v>
      </c>
      <c r="L2449" s="2"/>
      <c r="M2449" s="7"/>
    </row>
    <row r="2450" spans="1:13" ht="12.75">
      <c r="A2450" s="41" t="s">
        <v>199</v>
      </c>
      <c r="B2450" s="46"/>
      <c r="C2450" s="7"/>
      <c r="D2450" s="7"/>
      <c r="E2450" s="7">
        <f t="shared" si="46"/>
        <v>64068</v>
      </c>
      <c r="F2450" s="7"/>
      <c r="G2450" s="7"/>
      <c r="H2450" s="2"/>
      <c r="I2450" s="7"/>
      <c r="J2450" s="2"/>
      <c r="K2450" s="7">
        <v>64068</v>
      </c>
      <c r="L2450" s="2"/>
      <c r="M2450" s="7"/>
    </row>
    <row r="2451" spans="1:13" ht="12.75">
      <c r="A2451" s="41" t="s">
        <v>352</v>
      </c>
      <c r="B2451" s="46"/>
      <c r="C2451" s="7"/>
      <c r="D2451" s="7"/>
      <c r="E2451" s="7">
        <f t="shared" si="46"/>
        <v>12020</v>
      </c>
      <c r="F2451" s="7"/>
      <c r="G2451" s="7"/>
      <c r="H2451" s="2"/>
      <c r="I2451" s="7"/>
      <c r="J2451" s="2"/>
      <c r="K2451" s="7">
        <v>12020</v>
      </c>
      <c r="L2451" s="2"/>
      <c r="M2451" s="7"/>
    </row>
    <row r="2452" spans="1:13" ht="12.75">
      <c r="A2452" s="41" t="s">
        <v>150</v>
      </c>
      <c r="B2452" s="46"/>
      <c r="C2452" s="7"/>
      <c r="D2452" s="7"/>
      <c r="E2452" s="7">
        <f t="shared" si="46"/>
        <v>252.51</v>
      </c>
      <c r="F2452" s="7"/>
      <c r="G2452" s="7"/>
      <c r="H2452" s="2"/>
      <c r="I2452" s="7">
        <v>47.51</v>
      </c>
      <c r="J2452" s="2"/>
      <c r="K2452" s="7">
        <v>95</v>
      </c>
      <c r="L2452" s="2"/>
      <c r="M2452" s="7">
        <v>110</v>
      </c>
    </row>
    <row r="2453" spans="1:13" ht="12.75">
      <c r="A2453" s="41" t="s">
        <v>163</v>
      </c>
      <c r="B2453" s="46"/>
      <c r="C2453" s="7"/>
      <c r="D2453" s="7"/>
      <c r="E2453" s="7">
        <f t="shared" si="46"/>
        <v>300</v>
      </c>
      <c r="F2453" s="7"/>
      <c r="G2453" s="7">
        <v>300</v>
      </c>
      <c r="H2453" s="2"/>
      <c r="I2453" s="7"/>
      <c r="J2453" s="2"/>
      <c r="K2453" s="7"/>
      <c r="L2453" s="2"/>
      <c r="M2453" s="7"/>
    </row>
    <row r="2454" spans="1:13" ht="12.75">
      <c r="A2454" s="41" t="s">
        <v>51</v>
      </c>
      <c r="B2454" s="46"/>
      <c r="C2454" s="7"/>
      <c r="D2454" s="7"/>
      <c r="E2454" s="7">
        <f t="shared" si="46"/>
        <v>2530.33</v>
      </c>
      <c r="F2454" s="7"/>
      <c r="G2454" s="7"/>
      <c r="H2454" s="2"/>
      <c r="I2454" s="7">
        <v>2530.33</v>
      </c>
      <c r="J2454" s="2"/>
      <c r="K2454" s="7"/>
      <c r="L2454" s="2"/>
      <c r="M2454" s="7"/>
    </row>
    <row r="2455" spans="1:13" ht="12.75">
      <c r="A2455" s="58" t="s">
        <v>52</v>
      </c>
      <c r="B2455" s="46"/>
      <c r="C2455" s="7"/>
      <c r="D2455" s="7"/>
      <c r="E2455" s="7">
        <f t="shared" si="46"/>
        <v>0</v>
      </c>
      <c r="F2455" s="7"/>
      <c r="G2455" s="7"/>
      <c r="H2455" s="2"/>
      <c r="I2455" s="7"/>
      <c r="J2455" s="2"/>
      <c r="K2455" s="7"/>
      <c r="L2455" s="2"/>
      <c r="M2455" s="7"/>
    </row>
    <row r="2456" spans="1:13" ht="12.75">
      <c r="A2456" s="41" t="s">
        <v>436</v>
      </c>
      <c r="B2456" s="46"/>
      <c r="C2456" s="7"/>
      <c r="D2456" s="7"/>
      <c r="E2456" s="7">
        <f t="shared" si="46"/>
        <v>450</v>
      </c>
      <c r="F2456" s="7"/>
      <c r="G2456" s="7"/>
      <c r="H2456" s="2"/>
      <c r="I2456" s="7"/>
      <c r="J2456" s="2"/>
      <c r="K2456" s="7"/>
      <c r="L2456" s="2"/>
      <c r="M2456" s="7">
        <v>450</v>
      </c>
    </row>
    <row r="2457" spans="1:13" ht="12.75">
      <c r="A2457" s="41" t="s">
        <v>353</v>
      </c>
      <c r="B2457" s="46"/>
      <c r="C2457" s="7"/>
      <c r="D2457" s="7"/>
      <c r="E2457" s="7">
        <f t="shared" si="46"/>
        <v>1350</v>
      </c>
      <c r="F2457" s="7"/>
      <c r="G2457" s="7"/>
      <c r="H2457" s="2"/>
      <c r="I2457" s="7"/>
      <c r="J2457" s="2"/>
      <c r="K2457" s="7">
        <v>1350</v>
      </c>
      <c r="L2457" s="2"/>
      <c r="M2457" s="7"/>
    </row>
    <row r="2458" spans="1:13" ht="12.75">
      <c r="A2458" s="41" t="s">
        <v>57</v>
      </c>
      <c r="B2458" s="46"/>
      <c r="C2458" s="7"/>
      <c r="D2458" s="7"/>
      <c r="E2458" s="7">
        <f t="shared" si="46"/>
        <v>25.911592000000002</v>
      </c>
      <c r="F2458" s="7"/>
      <c r="G2458" s="7"/>
      <c r="H2458" s="2"/>
      <c r="I2458" s="7">
        <f>0.0071*C2415</f>
        <v>25.911592000000002</v>
      </c>
      <c r="J2458" s="2"/>
      <c r="K2458" s="7"/>
      <c r="L2458" s="2"/>
      <c r="M2458" s="7"/>
    </row>
    <row r="2459" spans="1:13" ht="12.75">
      <c r="A2459" s="41" t="s">
        <v>33</v>
      </c>
      <c r="B2459" s="46"/>
      <c r="C2459" s="7"/>
      <c r="D2459" s="7"/>
      <c r="E2459" s="7">
        <f t="shared" si="46"/>
        <v>3162</v>
      </c>
      <c r="F2459" s="15"/>
      <c r="G2459" s="7"/>
      <c r="H2459" s="2"/>
      <c r="I2459" s="7"/>
      <c r="J2459" s="2"/>
      <c r="K2459" s="7"/>
      <c r="L2459" s="2"/>
      <c r="M2459" s="7">
        <v>3162</v>
      </c>
    </row>
    <row r="2460" spans="1:13" ht="12.75">
      <c r="A2460" s="41" t="s">
        <v>50</v>
      </c>
      <c r="B2460" s="46"/>
      <c r="C2460" s="7"/>
      <c r="D2460" s="7"/>
      <c r="E2460" s="7">
        <f t="shared" si="46"/>
        <v>4000.9520410000005</v>
      </c>
      <c r="F2460" s="7"/>
      <c r="G2460" s="7">
        <f>0.2455*C2415</f>
        <v>895.9571599999999</v>
      </c>
      <c r="H2460" s="2"/>
      <c r="I2460" s="7">
        <f>0.5802*C2415</f>
        <v>2117.451504</v>
      </c>
      <c r="J2460" s="2"/>
      <c r="K2460" s="7">
        <f>0.1437*K2415</f>
        <v>524.2334069999999</v>
      </c>
      <c r="L2460" s="2"/>
      <c r="M2460" s="7">
        <f>0.127*K2415</f>
        <v>463.30997</v>
      </c>
    </row>
    <row r="2461" spans="1:13" ht="13.5" thickBot="1">
      <c r="A2461" s="48" t="s">
        <v>54</v>
      </c>
      <c r="B2461" s="49"/>
      <c r="C2461" s="50"/>
      <c r="D2461" s="50"/>
      <c r="E2461" s="50">
        <f t="shared" si="46"/>
        <v>112.372786</v>
      </c>
      <c r="F2461" s="50"/>
      <c r="G2461" s="50"/>
      <c r="H2461" s="22"/>
      <c r="I2461" s="50">
        <f>0.0078*C2415</f>
        <v>28.466255999999998</v>
      </c>
      <c r="J2461" s="22"/>
      <c r="K2461" s="50">
        <f>0.011*K2415</f>
        <v>40.12921</v>
      </c>
      <c r="L2461" s="22"/>
      <c r="M2461" s="50">
        <f>0.012*K2415</f>
        <v>43.77732</v>
      </c>
    </row>
    <row r="2462" spans="1:13" ht="13.5" thickBot="1">
      <c r="A2462" s="59" t="s">
        <v>10</v>
      </c>
      <c r="B2462" s="81"/>
      <c r="C2462" s="63"/>
      <c r="D2462" s="63"/>
      <c r="E2462" s="63">
        <f t="shared" si="46"/>
        <v>221138.0497099</v>
      </c>
      <c r="F2462" s="63"/>
      <c r="G2462" s="63">
        <f>SUM(G2440:G2461)</f>
        <v>25768.941719199996</v>
      </c>
      <c r="H2462" s="26"/>
      <c r="I2462" s="63">
        <f>SUM(I2440:I2461)</f>
        <v>43586.854258399995</v>
      </c>
      <c r="J2462" s="26"/>
      <c r="K2462" s="63">
        <f>SUM(K2440:K2461)</f>
        <v>120338.82211100002</v>
      </c>
      <c r="L2462" s="26"/>
      <c r="M2462" s="29">
        <f>SUM(M2440:M2461)</f>
        <v>31443.4316213</v>
      </c>
    </row>
    <row r="2463" spans="1:13" ht="12.75">
      <c r="A2463" s="60" t="s">
        <v>42</v>
      </c>
      <c r="B2463" s="55"/>
      <c r="C2463" s="66"/>
      <c r="D2463" s="66"/>
      <c r="E2463" s="56">
        <f t="shared" si="46"/>
        <v>0</v>
      </c>
      <c r="F2463" s="66"/>
      <c r="G2463" s="56"/>
      <c r="H2463" s="74"/>
      <c r="I2463" s="56"/>
      <c r="J2463" s="74"/>
      <c r="K2463" s="56"/>
      <c r="L2463" s="74"/>
      <c r="M2463" s="56"/>
    </row>
    <row r="2464" spans="1:13" ht="12.75">
      <c r="A2464" s="41" t="s">
        <v>56</v>
      </c>
      <c r="B2464" s="46"/>
      <c r="C2464" s="7"/>
      <c r="D2464" s="7"/>
      <c r="E2464" s="7">
        <f t="shared" si="46"/>
        <v>0</v>
      </c>
      <c r="F2464" s="7"/>
      <c r="G2464" s="7"/>
      <c r="H2464" s="2"/>
      <c r="I2464" s="7"/>
      <c r="J2464" s="2"/>
      <c r="K2464" s="7"/>
      <c r="L2464" s="2"/>
      <c r="M2464" s="7"/>
    </row>
    <row r="2465" spans="1:13" ht="12.75">
      <c r="A2465" s="74" t="s">
        <v>428</v>
      </c>
      <c r="B2465" s="46"/>
      <c r="C2465" s="7"/>
      <c r="D2465" s="7"/>
      <c r="E2465" s="7">
        <f t="shared" si="46"/>
        <v>267.2</v>
      </c>
      <c r="F2465" s="7"/>
      <c r="G2465" s="7"/>
      <c r="H2465" s="2"/>
      <c r="I2465" s="7"/>
      <c r="J2465" s="2"/>
      <c r="K2465" s="7"/>
      <c r="L2465" s="2"/>
      <c r="M2465" s="7">
        <v>267.2</v>
      </c>
    </row>
    <row r="2466" spans="1:13" ht="12.75">
      <c r="A2466" s="129" t="s">
        <v>435</v>
      </c>
      <c r="B2466" s="46"/>
      <c r="C2466" s="7"/>
      <c r="D2466" s="7"/>
      <c r="E2466" s="7">
        <f t="shared" si="46"/>
        <v>10200</v>
      </c>
      <c r="F2466" s="7"/>
      <c r="G2466" s="7"/>
      <c r="H2466" s="2"/>
      <c r="I2466" s="7"/>
      <c r="J2466" s="2"/>
      <c r="K2466" s="7"/>
      <c r="L2466" s="2"/>
      <c r="M2466" s="7">
        <v>10200</v>
      </c>
    </row>
    <row r="2467" spans="1:13" ht="12.75">
      <c r="A2467" s="129" t="s">
        <v>411</v>
      </c>
      <c r="B2467" s="46"/>
      <c r="C2467" s="7"/>
      <c r="D2467" s="7"/>
      <c r="E2467" s="7">
        <f t="shared" si="46"/>
        <v>443.7</v>
      </c>
      <c r="F2467" s="7"/>
      <c r="G2467" s="7"/>
      <c r="H2467" s="2"/>
      <c r="I2467" s="7"/>
      <c r="J2467" s="2"/>
      <c r="K2467" s="7"/>
      <c r="L2467" s="2"/>
      <c r="M2467" s="7">
        <v>443.7</v>
      </c>
    </row>
    <row r="2468" spans="1:13" ht="12.75">
      <c r="A2468" s="48" t="s">
        <v>89</v>
      </c>
      <c r="B2468" s="46"/>
      <c r="C2468" s="7"/>
      <c r="D2468" s="7"/>
      <c r="E2468" s="7">
        <f t="shared" si="46"/>
        <v>158</v>
      </c>
      <c r="F2468" s="7"/>
      <c r="G2468" s="7"/>
      <c r="H2468" s="2"/>
      <c r="I2468" s="7"/>
      <c r="J2468" s="2"/>
      <c r="K2468" s="7"/>
      <c r="L2468" s="2"/>
      <c r="M2468" s="7">
        <v>158</v>
      </c>
    </row>
    <row r="2469" spans="1:13" ht="13.5" thickBot="1">
      <c r="A2469" s="48" t="s">
        <v>16</v>
      </c>
      <c r="B2469" s="49"/>
      <c r="C2469" s="50"/>
      <c r="D2469" s="50"/>
      <c r="E2469" s="7">
        <f t="shared" si="46"/>
        <v>130.250076</v>
      </c>
      <c r="F2469" s="50"/>
      <c r="G2469" s="50">
        <f>0.0089*C2415</f>
        <v>32.480728</v>
      </c>
      <c r="H2469" s="22"/>
      <c r="I2469" s="50"/>
      <c r="J2469" s="22"/>
      <c r="K2469" s="50"/>
      <c r="L2469" s="22"/>
      <c r="M2469" s="50">
        <f>0.0268*K2415</f>
        <v>97.76934800000001</v>
      </c>
    </row>
    <row r="2470" spans="1:13" ht="13.5" thickBot="1">
      <c r="A2470" s="62" t="s">
        <v>10</v>
      </c>
      <c r="B2470" s="81"/>
      <c r="C2470" s="63"/>
      <c r="D2470" s="63"/>
      <c r="E2470" s="63">
        <f t="shared" si="46"/>
        <v>11199.150076000002</v>
      </c>
      <c r="F2470" s="63"/>
      <c r="G2470" s="63">
        <f>SUM(G2464:G2469)</f>
        <v>32.480728</v>
      </c>
      <c r="H2470" s="26"/>
      <c r="I2470" s="63"/>
      <c r="J2470" s="26"/>
      <c r="K2470" s="63"/>
      <c r="L2470" s="26"/>
      <c r="M2470" s="29">
        <f>SUM(M2464:M2469)</f>
        <v>11166.669348000001</v>
      </c>
    </row>
    <row r="2471" spans="1:13" ht="13.5" thickBot="1">
      <c r="A2471" s="64" t="s">
        <v>29</v>
      </c>
      <c r="B2471" s="81"/>
      <c r="C2471" s="63"/>
      <c r="D2471" s="63"/>
      <c r="E2471" s="63">
        <f t="shared" si="46"/>
        <v>8365.460984</v>
      </c>
      <c r="F2471" s="63"/>
      <c r="G2471" s="63">
        <f>0.4236*C2415</f>
        <v>1545.9366719999998</v>
      </c>
      <c r="H2471" s="26"/>
      <c r="I2471" s="63">
        <f>0.5971*C2415</f>
        <v>2179.128392</v>
      </c>
      <c r="J2471" s="26"/>
      <c r="K2471" s="63"/>
      <c r="L2471" s="26"/>
      <c r="M2471" s="29">
        <f>1.272*K2415</f>
        <v>4640.39592</v>
      </c>
    </row>
    <row r="2472" spans="1:13" ht="21.75">
      <c r="A2472" s="65" t="s">
        <v>83</v>
      </c>
      <c r="B2472" s="61"/>
      <c r="C2472" s="56"/>
      <c r="D2472" s="56"/>
      <c r="E2472" s="56">
        <f t="shared" si="46"/>
        <v>512694.3006954</v>
      </c>
      <c r="F2472" s="56"/>
      <c r="G2472" s="56">
        <f>G2438+G2462+G2470+G2471</f>
        <v>93779.145244</v>
      </c>
      <c r="H2472" s="74"/>
      <c r="I2472" s="56">
        <f>I2438+I2462+I2470+I2471</f>
        <v>121931.09714160001</v>
      </c>
      <c r="J2472" s="74"/>
      <c r="K2472" s="56">
        <f>K2438+K2462+K2470+K2471</f>
        <v>186618.75969680003</v>
      </c>
      <c r="L2472" s="74"/>
      <c r="M2472" s="56">
        <f>M2438+M2462+M2470+M2471</f>
        <v>110365.29861299999</v>
      </c>
    </row>
    <row r="2473" spans="1:13" ht="33.75">
      <c r="A2473" s="67" t="s">
        <v>84</v>
      </c>
      <c r="B2473" s="46"/>
      <c r="C2473" s="7"/>
      <c r="D2473" s="7"/>
      <c r="E2473" s="8">
        <f>E2472/12/C2415</f>
        <v>11.706888867015389</v>
      </c>
      <c r="F2473" s="7"/>
      <c r="G2473" s="8">
        <f>G2472/3/C2415</f>
        <v>8.565431914699284</v>
      </c>
      <c r="H2473" s="2"/>
      <c r="I2473" s="8">
        <f>I2472/3/C2415</f>
        <v>11.1367245684912</v>
      </c>
      <c r="J2473" s="2"/>
      <c r="K2473" s="8">
        <f>K2472/3/K2415</f>
        <v>17.051638583339503</v>
      </c>
      <c r="L2473" s="2"/>
      <c r="M2473" s="8">
        <f>M2472/3/K2415</f>
        <v>10.084244409022753</v>
      </c>
    </row>
    <row r="2474" spans="1:13" ht="12.75">
      <c r="A2474" s="69" t="s">
        <v>20</v>
      </c>
      <c r="B2474" s="44"/>
      <c r="C2474" s="45"/>
      <c r="D2474" s="45"/>
      <c r="E2474" s="45">
        <f>E2420-E2472</f>
        <v>-98886.86069539998</v>
      </c>
      <c r="F2474" s="45"/>
      <c r="G2474" s="7">
        <f>G2420-G2472</f>
        <v>5262.064756000007</v>
      </c>
      <c r="H2474" s="2"/>
      <c r="I2474" s="7">
        <f>I2420-I2472+G2474</f>
        <v>-10877.922385600003</v>
      </c>
      <c r="J2474" s="2"/>
      <c r="K2474" s="7">
        <f>K2420-K2472-10878</f>
        <v>-86424.33969680003</v>
      </c>
      <c r="L2474" s="2"/>
      <c r="M2474" s="7">
        <f>M2420-M2472-86424</f>
        <v>-98886.598613</v>
      </c>
    </row>
    <row r="2475" spans="1:13" ht="12.75">
      <c r="A2475" s="14" t="s">
        <v>24</v>
      </c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</row>
    <row r="2476" spans="1:13" ht="12.75">
      <c r="A2476" s="14" t="s">
        <v>35</v>
      </c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</row>
    <row r="2477" spans="1:13" ht="12.75">
      <c r="A2477" s="14" t="s">
        <v>25</v>
      </c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</row>
    <row r="2478" spans="1:13" ht="12.75">
      <c r="A2478" s="14"/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</row>
    <row r="2479" spans="1:13" ht="12.75">
      <c r="A2479" s="14"/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</row>
    <row r="2480" spans="1:13" ht="12.75">
      <c r="A2480" s="14"/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</row>
    <row r="2481" spans="1:13" ht="12.75">
      <c r="A2481" s="14"/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</row>
    <row r="2482" spans="1:13" ht="12.75">
      <c r="A2482" s="14"/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</row>
    <row r="2483" spans="1:13" ht="12.75">
      <c r="A2483" s="14"/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</row>
    <row r="2484" spans="1:13" ht="12.75">
      <c r="A2484" s="14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</row>
    <row r="2485" spans="1:13" ht="12.75">
      <c r="A2485" s="14"/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</row>
    <row r="2486" spans="1:13" ht="12.75">
      <c r="A2486" s="14"/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</row>
    <row r="2487" spans="1:13" ht="12.75">
      <c r="A2487" s="14"/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</row>
    <row r="2488" spans="1:13" ht="12.75">
      <c r="A2488" s="14"/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</row>
    <row r="2489" spans="1:13" ht="12.75">
      <c r="A2489" s="14"/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</row>
    <row r="2490" spans="1:13" ht="12.75">
      <c r="A2490" s="14"/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</row>
    <row r="2491" spans="1:13" ht="12.75">
      <c r="A2491" s="14"/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</row>
    <row r="2492" spans="1:13" ht="1.5" customHeight="1">
      <c r="A2492" s="14"/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</row>
    <row r="2493" spans="1:13" ht="12.75" hidden="1">
      <c r="A2493" s="14"/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</row>
    <row r="2494" spans="1:13" ht="12.75" hidden="1">
      <c r="A2494" s="14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</row>
    <row r="2495" spans="1:13" ht="12.75" hidden="1">
      <c r="A2495" s="14"/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</row>
    <row r="2496" spans="1:13" ht="12.75" hidden="1">
      <c r="A2496" s="14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</row>
    <row r="2497" spans="1:13" ht="12.75" hidden="1">
      <c r="A2497" s="14"/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</row>
    <row r="2498" spans="1:13" ht="1.5" customHeight="1" hidden="1">
      <c r="A2498" s="14"/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</row>
    <row r="2499" spans="1:13" ht="12.75" hidden="1">
      <c r="A2499" s="14"/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</row>
    <row r="2500" spans="1:13" ht="12.75" hidden="1">
      <c r="A2500" s="14"/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</row>
    <row r="2501" spans="1:13" ht="12.75">
      <c r="A2501" s="31" t="s">
        <v>21</v>
      </c>
      <c r="B2501" s="31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</row>
    <row r="2502" spans="1:13" ht="12.75">
      <c r="A2502" s="14" t="s">
        <v>31</v>
      </c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</row>
    <row r="2503" spans="1:13" ht="12.75">
      <c r="A2503" s="14" t="s">
        <v>41</v>
      </c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</row>
    <row r="2504" spans="1:13" ht="12.75">
      <c r="A2504" s="14" t="s">
        <v>127</v>
      </c>
      <c r="B2504" s="14"/>
      <c r="C2504" s="14"/>
      <c r="D2504" s="14"/>
      <c r="E2504" s="14" t="s">
        <v>32</v>
      </c>
      <c r="F2504" s="14"/>
      <c r="G2504" s="14"/>
      <c r="H2504" s="14"/>
      <c r="I2504" s="14"/>
      <c r="J2504" s="14"/>
      <c r="K2504" s="14"/>
      <c r="L2504" s="14"/>
      <c r="M2504" s="14"/>
    </row>
    <row r="2505" spans="1:13" ht="12.75" customHeight="1">
      <c r="A2505" s="6" t="s">
        <v>0</v>
      </c>
      <c r="B2505" s="151" t="s">
        <v>38</v>
      </c>
      <c r="C2505" s="152"/>
      <c r="D2505" s="149" t="s">
        <v>39</v>
      </c>
      <c r="E2505" s="150"/>
      <c r="F2505" s="149" t="s">
        <v>96</v>
      </c>
      <c r="G2505" s="150"/>
      <c r="H2505" s="149" t="s">
        <v>97</v>
      </c>
      <c r="I2505" s="150"/>
      <c r="J2505" s="149" t="s">
        <v>98</v>
      </c>
      <c r="K2505" s="150"/>
      <c r="L2505" s="149" t="s">
        <v>99</v>
      </c>
      <c r="M2505" s="150"/>
    </row>
    <row r="2506" spans="1:13" ht="12.75">
      <c r="A2506" s="11" t="s">
        <v>5</v>
      </c>
      <c r="B2506" s="153"/>
      <c r="C2506" s="154"/>
      <c r="D2506" s="6" t="s">
        <v>40</v>
      </c>
      <c r="E2506" s="6" t="s">
        <v>22</v>
      </c>
      <c r="F2506" s="6" t="s">
        <v>40</v>
      </c>
      <c r="G2506" s="13" t="s">
        <v>22</v>
      </c>
      <c r="H2506" s="2"/>
      <c r="I2506" s="2"/>
      <c r="J2506" s="2"/>
      <c r="K2506" s="2"/>
      <c r="L2506" s="2"/>
      <c r="M2506" s="2"/>
    </row>
    <row r="2507" spans="1:13" ht="12.75">
      <c r="A2507" s="2" t="s">
        <v>1</v>
      </c>
      <c r="B2507" s="2"/>
      <c r="C2507" s="6">
        <v>5</v>
      </c>
      <c r="D2507" s="2"/>
      <c r="E2507" s="2"/>
      <c r="F2507" s="2"/>
      <c r="G2507" s="2"/>
      <c r="H2507" s="2"/>
      <c r="I2507" s="2"/>
      <c r="J2507" s="2"/>
      <c r="K2507" s="2"/>
      <c r="L2507" s="2"/>
      <c r="M2507" s="2"/>
    </row>
    <row r="2508" spans="1:13" ht="12.75">
      <c r="A2508" s="2" t="s">
        <v>2</v>
      </c>
      <c r="B2508" s="2"/>
      <c r="C2508" s="6">
        <v>4</v>
      </c>
      <c r="D2508" s="2"/>
      <c r="E2508" s="2"/>
      <c r="F2508" s="2"/>
      <c r="G2508" s="2"/>
      <c r="H2508" s="2"/>
      <c r="I2508" s="2"/>
      <c r="J2508" s="2"/>
      <c r="K2508" s="2"/>
      <c r="L2508" s="2"/>
      <c r="M2508" s="2"/>
    </row>
    <row r="2509" spans="1:13" ht="12.75">
      <c r="A2509" s="2" t="s">
        <v>3</v>
      </c>
      <c r="B2509" s="2"/>
      <c r="C2509" s="6">
        <v>80</v>
      </c>
      <c r="D2509" s="2"/>
      <c r="E2509" s="2"/>
      <c r="F2509" s="2"/>
      <c r="G2509" s="2"/>
      <c r="H2509" s="2"/>
      <c r="I2509" s="2"/>
      <c r="J2509" s="2"/>
      <c r="K2509" s="2"/>
      <c r="L2509" s="2"/>
      <c r="M2509" s="2"/>
    </row>
    <row r="2510" spans="1:13" ht="12.75">
      <c r="A2510" s="2" t="s">
        <v>4</v>
      </c>
      <c r="B2510" s="6"/>
      <c r="C2510" s="6">
        <v>3802.83</v>
      </c>
      <c r="D2510" s="6"/>
      <c r="E2510" s="6"/>
      <c r="F2510" s="6"/>
      <c r="G2510" s="2"/>
      <c r="H2510" s="2"/>
      <c r="I2510" s="2"/>
      <c r="J2510" s="2"/>
      <c r="K2510" s="2">
        <v>3801.11</v>
      </c>
      <c r="L2510" s="2"/>
      <c r="M2510" s="2"/>
    </row>
    <row r="2511" spans="1:13" ht="21.75">
      <c r="A2511" s="35" t="s">
        <v>6</v>
      </c>
      <c r="B2511" s="11" t="s">
        <v>40</v>
      </c>
      <c r="C2511" s="2" t="s">
        <v>22</v>
      </c>
      <c r="D2511" s="2"/>
      <c r="E2511" s="2"/>
      <c r="F2511" s="2"/>
      <c r="G2511" s="2"/>
      <c r="H2511" s="2"/>
      <c r="I2511" s="2"/>
      <c r="J2511" s="2"/>
      <c r="K2511" s="2"/>
      <c r="L2511" s="2"/>
      <c r="M2511" s="2"/>
    </row>
    <row r="2512" spans="1:13" ht="22.5">
      <c r="A2512" s="40" t="s">
        <v>7</v>
      </c>
      <c r="B2512" s="3"/>
      <c r="C2512" s="6"/>
      <c r="D2512" s="6"/>
      <c r="E2512" s="6">
        <f>G2512+I2512+K2512+M2512</f>
        <v>351380.74</v>
      </c>
      <c r="F2512" s="2"/>
      <c r="G2512" s="2">
        <v>82681.69</v>
      </c>
      <c r="H2512" s="2"/>
      <c r="I2512" s="2">
        <v>81308.59</v>
      </c>
      <c r="J2512" s="2"/>
      <c r="K2512" s="2">
        <v>88856.32</v>
      </c>
      <c r="L2512" s="2"/>
      <c r="M2512" s="2">
        <v>98534.14</v>
      </c>
    </row>
    <row r="2513" spans="1:13" ht="12.75">
      <c r="A2513" s="41" t="s">
        <v>8</v>
      </c>
      <c r="B2513" s="3"/>
      <c r="C2513" s="6"/>
      <c r="D2513" s="6"/>
      <c r="E2513" s="6"/>
      <c r="F2513" s="2"/>
      <c r="G2513" s="2"/>
      <c r="H2513" s="2"/>
      <c r="I2513" s="2"/>
      <c r="J2513" s="2"/>
      <c r="K2513" s="2"/>
      <c r="L2513" s="2"/>
      <c r="M2513" s="2"/>
    </row>
    <row r="2514" spans="1:13" ht="12.75">
      <c r="A2514" s="41" t="s">
        <v>9</v>
      </c>
      <c r="B2514" s="3"/>
      <c r="C2514" s="6"/>
      <c r="D2514" s="6"/>
      <c r="E2514" s="6"/>
      <c r="F2514" s="2"/>
      <c r="G2514" s="2"/>
      <c r="H2514" s="2"/>
      <c r="I2514" s="2"/>
      <c r="J2514" s="2"/>
      <c r="K2514" s="2"/>
      <c r="L2514" s="2"/>
      <c r="M2514" s="2"/>
    </row>
    <row r="2515" spans="1:13" ht="12.75">
      <c r="A2515" s="2" t="s">
        <v>10</v>
      </c>
      <c r="B2515" s="42"/>
      <c r="C2515" s="11"/>
      <c r="D2515" s="11"/>
      <c r="E2515" s="11">
        <f>SUM(E2512:E2514)</f>
        <v>351380.74</v>
      </c>
      <c r="F2515" s="37"/>
      <c r="G2515" s="2">
        <f>SUM(G2512:G2514)</f>
        <v>82681.69</v>
      </c>
      <c r="H2515" s="2"/>
      <c r="I2515" s="2">
        <f>SUM(I2512:I2514)</f>
        <v>81308.59</v>
      </c>
      <c r="J2515" s="2"/>
      <c r="K2515" s="2">
        <f>SUM(K2512:K2514)</f>
        <v>88856.32</v>
      </c>
      <c r="L2515" s="2"/>
      <c r="M2515" s="2">
        <f>SUM(M2512:M2514)</f>
        <v>98534.14</v>
      </c>
    </row>
    <row r="2516" spans="1:13" ht="21.75">
      <c r="A2516" s="35" t="s">
        <v>82</v>
      </c>
      <c r="B2516" s="4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</row>
    <row r="2517" spans="1:13" ht="12.75">
      <c r="A2517" s="43" t="s">
        <v>11</v>
      </c>
      <c r="B2517" s="44"/>
      <c r="C2517" s="45"/>
      <c r="D2517" s="45"/>
      <c r="E2517" s="45">
        <f>G2517+I2517+K2517+M2517</f>
        <v>124022.8106718</v>
      </c>
      <c r="F2517" s="45"/>
      <c r="G2517" s="45">
        <f>7.99407*C2510</f>
        <v>30400.089218099998</v>
      </c>
      <c r="H2517" s="2"/>
      <c r="I2517" s="7">
        <f>9.57707*C2510</f>
        <v>36419.969108100006</v>
      </c>
      <c r="J2517" s="2"/>
      <c r="K2517" s="7">
        <f>7.32829*K2510</f>
        <v>27855.6364019</v>
      </c>
      <c r="L2517" s="2"/>
      <c r="M2517" s="2">
        <f>7.72067*K2510</f>
        <v>29347.115943700002</v>
      </c>
    </row>
    <row r="2518" spans="1:13" ht="12.75">
      <c r="A2518" s="43" t="s">
        <v>12</v>
      </c>
      <c r="B2518" s="46"/>
      <c r="C2518" s="7"/>
      <c r="D2518" s="7"/>
      <c r="E2518" s="7">
        <f aca="true" t="shared" si="47" ref="E2518:E2567">G2518+I2518+K2518+M2518</f>
        <v>0</v>
      </c>
      <c r="F2518" s="7"/>
      <c r="G2518" s="7"/>
      <c r="H2518" s="2"/>
      <c r="I2518" s="7"/>
      <c r="J2518" s="2"/>
      <c r="K2518" s="7"/>
      <c r="L2518" s="2"/>
      <c r="M2518" s="2"/>
    </row>
    <row r="2519" spans="1:13" ht="12.75">
      <c r="A2519" s="41" t="s">
        <v>13</v>
      </c>
      <c r="B2519" s="46"/>
      <c r="C2519" s="7"/>
      <c r="D2519" s="7"/>
      <c r="E2519" s="45">
        <f t="shared" si="47"/>
        <v>152664.0802278</v>
      </c>
      <c r="F2519" s="45"/>
      <c r="G2519" s="45">
        <f>G2520+G2522+G2523+G2524+G2526+G2527+G2528+G2529+G2530+G2533+G2534</f>
        <v>36811.31392110001</v>
      </c>
      <c r="H2519" s="2"/>
      <c r="I2519" s="7">
        <f>I2520+I2522+I2523+I2524+I2526+I2527+I2528+I2529+I2530+I2531+I2532+I2533+I2534</f>
        <v>40110.8171417</v>
      </c>
      <c r="J2519" s="2"/>
      <c r="K2519" s="7">
        <f>K2520+K2522+K2523+K2524+K2525+K2526+K2527+K2534</f>
        <v>44053.943875</v>
      </c>
      <c r="L2519" s="2"/>
      <c r="M2519" s="7">
        <f>M2520+M2522+M2523</f>
        <v>31688.00529</v>
      </c>
    </row>
    <row r="2520" spans="1:13" ht="12.75">
      <c r="A2520" s="47" t="s">
        <v>14</v>
      </c>
      <c r="B2520" s="46"/>
      <c r="C2520" s="71"/>
      <c r="D2520" s="7"/>
      <c r="E2520" s="7">
        <f t="shared" si="47"/>
        <v>132627</v>
      </c>
      <c r="F2520" s="7"/>
      <c r="G2520" s="7">
        <v>34299</v>
      </c>
      <c r="H2520" s="2"/>
      <c r="I2520" s="7">
        <v>33174</v>
      </c>
      <c r="J2520" s="2"/>
      <c r="K2520" s="7">
        <v>34832</v>
      </c>
      <c r="L2520" s="2"/>
      <c r="M2520" s="7">
        <v>30322</v>
      </c>
    </row>
    <row r="2521" spans="1:13" ht="12.75">
      <c r="A2521" s="41" t="s">
        <v>19</v>
      </c>
      <c r="B2521" s="46"/>
      <c r="C2521" s="71"/>
      <c r="D2521" s="7"/>
      <c r="E2521" s="7">
        <f t="shared" si="47"/>
        <v>86434</v>
      </c>
      <c r="F2521" s="7"/>
      <c r="G2521" s="7">
        <v>21619</v>
      </c>
      <c r="H2521" s="2"/>
      <c r="I2521" s="7">
        <v>21619</v>
      </c>
      <c r="J2521" s="2"/>
      <c r="K2521" s="7">
        <v>21598</v>
      </c>
      <c r="L2521" s="2"/>
      <c r="M2521" s="7">
        <v>21598</v>
      </c>
    </row>
    <row r="2522" spans="1:13" ht="12.75">
      <c r="A2522" s="41" t="s">
        <v>18</v>
      </c>
      <c r="B2522" s="46"/>
      <c r="C2522" s="7"/>
      <c r="D2522" s="7"/>
      <c r="E2522" s="7">
        <f t="shared" si="47"/>
        <v>1413.59</v>
      </c>
      <c r="F2522" s="7"/>
      <c r="G2522" s="7">
        <v>221.66</v>
      </c>
      <c r="H2522" s="2"/>
      <c r="I2522" s="7">
        <v>311.96</v>
      </c>
      <c r="J2522" s="2"/>
      <c r="K2522" s="7">
        <v>422.43</v>
      </c>
      <c r="L2522" s="2"/>
      <c r="M2522" s="7">
        <f>457.54</f>
        <v>457.54</v>
      </c>
    </row>
    <row r="2523" spans="1:13" ht="12.75">
      <c r="A2523" s="41" t="s">
        <v>53</v>
      </c>
      <c r="B2523" s="46"/>
      <c r="C2523" s="7"/>
      <c r="D2523" s="7"/>
      <c r="E2523" s="7">
        <f t="shared" si="47"/>
        <v>9281.9470298</v>
      </c>
      <c r="F2523" s="7"/>
      <c r="G2523" s="7">
        <f>0.54857*C2510</f>
        <v>2086.1184531</v>
      </c>
      <c r="H2523" s="2"/>
      <c r="I2523" s="7">
        <f>0.53049*C2510</f>
        <v>2017.3632867000001</v>
      </c>
      <c r="J2523" s="2"/>
      <c r="K2523" s="7">
        <v>4270</v>
      </c>
      <c r="L2523" s="2"/>
      <c r="M2523" s="7">
        <f>0.239*K2510</f>
        <v>908.46529</v>
      </c>
    </row>
    <row r="2524" spans="1:13" ht="12.75">
      <c r="A2524" s="41" t="s">
        <v>148</v>
      </c>
      <c r="B2524" s="46"/>
      <c r="C2524" s="7"/>
      <c r="D2524" s="7"/>
      <c r="E2524" s="7">
        <f t="shared" si="47"/>
        <v>530</v>
      </c>
      <c r="F2524" s="7"/>
      <c r="G2524" s="7">
        <v>130</v>
      </c>
      <c r="H2524" s="2"/>
      <c r="I2524" s="7"/>
      <c r="J2524" s="2"/>
      <c r="K2524" s="7">
        <v>400</v>
      </c>
      <c r="L2524" s="2"/>
      <c r="M2524" s="7"/>
    </row>
    <row r="2525" spans="1:13" ht="12.75">
      <c r="A2525" s="41" t="s">
        <v>248</v>
      </c>
      <c r="B2525" s="46"/>
      <c r="C2525" s="7"/>
      <c r="D2525" s="7"/>
      <c r="E2525" s="7"/>
      <c r="F2525" s="7"/>
      <c r="G2525" s="7"/>
      <c r="H2525" s="2"/>
      <c r="I2525" s="7"/>
      <c r="J2525" s="2"/>
      <c r="K2525" s="7">
        <v>2037</v>
      </c>
      <c r="L2525" s="2"/>
      <c r="M2525" s="7"/>
    </row>
    <row r="2526" spans="1:13" ht="12.75">
      <c r="A2526" s="41" t="s">
        <v>27</v>
      </c>
      <c r="B2526" s="46"/>
      <c r="C2526" s="7"/>
      <c r="D2526" s="7"/>
      <c r="E2526" s="7">
        <f t="shared" si="47"/>
        <v>420</v>
      </c>
      <c r="F2526" s="7"/>
      <c r="G2526" s="7"/>
      <c r="H2526" s="2"/>
      <c r="I2526" s="7">
        <v>420</v>
      </c>
      <c r="J2526" s="2"/>
      <c r="K2526" s="7"/>
      <c r="L2526" s="2"/>
      <c r="M2526" s="7"/>
    </row>
    <row r="2527" spans="1:13" ht="12.75">
      <c r="A2527" s="41" t="s">
        <v>36</v>
      </c>
      <c r="B2527" s="46"/>
      <c r="C2527" s="7"/>
      <c r="D2527" s="7"/>
      <c r="E2527" s="7">
        <f t="shared" si="47"/>
        <v>4997</v>
      </c>
      <c r="F2527" s="7"/>
      <c r="G2527" s="7"/>
      <c r="H2527" s="2" t="s">
        <v>261</v>
      </c>
      <c r="I2527" s="7">
        <v>2952</v>
      </c>
      <c r="J2527" s="2" t="s">
        <v>354</v>
      </c>
      <c r="K2527" s="7">
        <v>2045</v>
      </c>
      <c r="L2527" s="2"/>
      <c r="M2527" s="7"/>
    </row>
    <row r="2528" spans="1:13" ht="12.75">
      <c r="A2528" s="41" t="s">
        <v>58</v>
      </c>
      <c r="B2528" s="46"/>
      <c r="C2528" s="7"/>
      <c r="D2528" s="7"/>
      <c r="E2528" s="7">
        <f t="shared" si="47"/>
        <v>0</v>
      </c>
      <c r="F2528" s="7"/>
      <c r="G2528" s="7"/>
      <c r="H2528" s="2"/>
      <c r="I2528" s="7"/>
      <c r="J2528" s="2"/>
      <c r="K2528" s="7"/>
      <c r="L2528" s="2"/>
      <c r="M2528" s="7"/>
    </row>
    <row r="2529" spans="1:13" ht="12.75">
      <c r="A2529" s="41" t="s">
        <v>43</v>
      </c>
      <c r="B2529" s="46"/>
      <c r="C2529" s="7"/>
      <c r="D2529" s="7"/>
      <c r="E2529" s="7">
        <f t="shared" si="47"/>
        <v>0</v>
      </c>
      <c r="F2529" s="7"/>
      <c r="G2529" s="7"/>
      <c r="H2529" s="2"/>
      <c r="I2529" s="7"/>
      <c r="J2529" s="2"/>
      <c r="K2529" s="7"/>
      <c r="L2529" s="2"/>
      <c r="M2529" s="7"/>
    </row>
    <row r="2530" spans="1:13" ht="12.75">
      <c r="A2530" s="41" t="s">
        <v>30</v>
      </c>
      <c r="B2530" s="46"/>
      <c r="C2530" s="7"/>
      <c r="D2530" s="7"/>
      <c r="E2530" s="7">
        <f t="shared" si="47"/>
        <v>0</v>
      </c>
      <c r="F2530" s="7"/>
      <c r="G2530" s="7"/>
      <c r="H2530" s="2"/>
      <c r="I2530" s="7"/>
      <c r="J2530" s="2"/>
      <c r="K2530" s="7"/>
      <c r="L2530" s="2"/>
      <c r="M2530" s="7"/>
    </row>
    <row r="2531" spans="1:13" ht="12.75">
      <c r="A2531" s="41" t="s">
        <v>263</v>
      </c>
      <c r="B2531" s="46"/>
      <c r="C2531" s="7"/>
      <c r="D2531" s="7"/>
      <c r="E2531" s="7"/>
      <c r="F2531" s="7"/>
      <c r="G2531" s="7"/>
      <c r="H2531" s="2"/>
      <c r="I2531" s="7">
        <v>705</v>
      </c>
      <c r="J2531" s="2"/>
      <c r="K2531" s="7"/>
      <c r="L2531" s="2"/>
      <c r="M2531" s="7"/>
    </row>
    <row r="2532" spans="1:13" ht="12.75">
      <c r="A2532" s="41" t="s">
        <v>262</v>
      </c>
      <c r="B2532" s="46"/>
      <c r="C2532" s="7"/>
      <c r="D2532" s="7"/>
      <c r="E2532" s="7"/>
      <c r="F2532" s="7"/>
      <c r="G2532" s="7"/>
      <c r="H2532" s="2"/>
      <c r="I2532" s="7">
        <v>270</v>
      </c>
      <c r="J2532" s="2"/>
      <c r="K2532" s="7"/>
      <c r="L2532" s="2"/>
      <c r="M2532" s="7"/>
    </row>
    <row r="2533" spans="1:13" ht="12.75">
      <c r="A2533" s="41" t="s">
        <v>54</v>
      </c>
      <c r="B2533" s="46"/>
      <c r="C2533" s="7"/>
      <c r="D2533" s="7"/>
      <c r="E2533" s="7">
        <f t="shared" si="47"/>
        <v>74.535468</v>
      </c>
      <c r="F2533" s="7"/>
      <c r="G2533" s="7">
        <f>0.0196*C2510</f>
        <v>74.535468</v>
      </c>
      <c r="H2533" s="2"/>
      <c r="I2533" s="7"/>
      <c r="J2533" s="2"/>
      <c r="K2533" s="7"/>
      <c r="L2533" s="2"/>
      <c r="M2533" s="7"/>
    </row>
    <row r="2534" spans="1:13" ht="13.5" thickBot="1">
      <c r="A2534" s="48" t="s">
        <v>55</v>
      </c>
      <c r="B2534" s="49"/>
      <c r="C2534" s="50"/>
      <c r="D2534" s="50"/>
      <c r="E2534" s="50">
        <f t="shared" si="47"/>
        <v>308.00773</v>
      </c>
      <c r="F2534" s="50"/>
      <c r="G2534" s="50"/>
      <c r="H2534" s="22"/>
      <c r="I2534" s="50">
        <f>0.0685*C2510</f>
        <v>260.493855</v>
      </c>
      <c r="J2534" s="22"/>
      <c r="K2534" s="50">
        <f>0.0125*K2510</f>
        <v>47.513875000000006</v>
      </c>
      <c r="L2534" s="22"/>
      <c r="M2534" s="50"/>
    </row>
    <row r="2535" spans="1:13" ht="13.5" thickBot="1">
      <c r="A2535" s="51" t="s">
        <v>76</v>
      </c>
      <c r="B2535" s="81"/>
      <c r="C2535" s="63"/>
      <c r="D2535" s="63"/>
      <c r="E2535" s="63">
        <f t="shared" si="47"/>
        <v>276686.8908996</v>
      </c>
      <c r="F2535" s="63"/>
      <c r="G2535" s="63">
        <f>G2517+G2519</f>
        <v>67211.4031392</v>
      </c>
      <c r="H2535" s="26"/>
      <c r="I2535" s="63">
        <f>I2517+I2519</f>
        <v>76530.7862498</v>
      </c>
      <c r="J2535" s="26"/>
      <c r="K2535" s="63">
        <f>K2517+K2519</f>
        <v>71909.5802769</v>
      </c>
      <c r="L2535" s="26"/>
      <c r="M2535" s="29">
        <f>M2517+M2519</f>
        <v>61035.1212337</v>
      </c>
    </row>
    <row r="2536" spans="1:13" ht="21.75">
      <c r="A2536" s="54" t="s">
        <v>15</v>
      </c>
      <c r="B2536" s="55"/>
      <c r="C2536" s="66"/>
      <c r="D2536" s="66"/>
      <c r="E2536" s="56">
        <f t="shared" si="47"/>
        <v>0</v>
      </c>
      <c r="F2536" s="66"/>
      <c r="G2536" s="56"/>
      <c r="H2536" s="74"/>
      <c r="I2536" s="56"/>
      <c r="J2536" s="74"/>
      <c r="K2536" s="56"/>
      <c r="L2536" s="74"/>
      <c r="M2536" s="56"/>
    </row>
    <row r="2537" spans="1:13" ht="12.75">
      <c r="A2537" s="41" t="s">
        <v>17</v>
      </c>
      <c r="B2537" s="46"/>
      <c r="C2537" s="7"/>
      <c r="D2537" s="7"/>
      <c r="E2537" s="7">
        <f t="shared" si="47"/>
        <v>107486.77845770001</v>
      </c>
      <c r="F2537" s="7"/>
      <c r="G2537" s="7">
        <f>6.73321*C2510</f>
        <v>25605.252984299997</v>
      </c>
      <c r="H2537" s="2"/>
      <c r="I2537" s="7">
        <f>7.02207*C2510</f>
        <v>26703.7384581</v>
      </c>
      <c r="J2537" s="2"/>
      <c r="K2537" s="7">
        <f>7.2754*K2510</f>
        <v>27654.595694000003</v>
      </c>
      <c r="L2537" s="2"/>
      <c r="M2537" s="7">
        <f>7.24083*K2510</f>
        <v>27523.1913213</v>
      </c>
    </row>
    <row r="2538" spans="1:13" ht="12.75">
      <c r="A2538" s="41" t="s">
        <v>167</v>
      </c>
      <c r="B2538" s="46"/>
      <c r="C2538" s="71"/>
      <c r="D2538" s="7"/>
      <c r="E2538" s="7">
        <f t="shared" si="47"/>
        <v>14495</v>
      </c>
      <c r="F2538" s="7"/>
      <c r="G2538" s="7"/>
      <c r="H2538" s="2" t="s">
        <v>260</v>
      </c>
      <c r="I2538" s="7">
        <v>14495</v>
      </c>
      <c r="J2538" s="2"/>
      <c r="K2538" s="7"/>
      <c r="L2538" s="2"/>
      <c r="M2538" s="7"/>
    </row>
    <row r="2539" spans="1:13" ht="12.75">
      <c r="A2539" s="41" t="s">
        <v>67</v>
      </c>
      <c r="B2539" s="46"/>
      <c r="C2539" s="7"/>
      <c r="D2539" s="7"/>
      <c r="E2539" s="7">
        <f t="shared" si="47"/>
        <v>2280</v>
      </c>
      <c r="F2539" s="7"/>
      <c r="G2539" s="7"/>
      <c r="H2539" s="2"/>
      <c r="I2539" s="7">
        <v>2070</v>
      </c>
      <c r="J2539" s="2"/>
      <c r="K2539" s="7"/>
      <c r="L2539" s="2"/>
      <c r="M2539" s="7">
        <v>210</v>
      </c>
    </row>
    <row r="2540" spans="1:13" ht="12.75">
      <c r="A2540" s="41" t="s">
        <v>68</v>
      </c>
      <c r="B2540" s="46"/>
      <c r="C2540" s="7"/>
      <c r="D2540" s="7"/>
      <c r="E2540" s="7">
        <f t="shared" si="47"/>
        <v>836</v>
      </c>
      <c r="F2540" s="7"/>
      <c r="G2540" s="7">
        <v>475</v>
      </c>
      <c r="H2540" s="2"/>
      <c r="I2540" s="7"/>
      <c r="J2540" s="2"/>
      <c r="K2540" s="7">
        <v>361</v>
      </c>
      <c r="L2540" s="2"/>
      <c r="M2540" s="7"/>
    </row>
    <row r="2541" spans="1:13" ht="12.75">
      <c r="A2541" s="41" t="s">
        <v>69</v>
      </c>
      <c r="B2541" s="46"/>
      <c r="C2541" s="7"/>
      <c r="D2541" s="7"/>
      <c r="E2541" s="7">
        <f t="shared" si="47"/>
        <v>0</v>
      </c>
      <c r="F2541" s="7"/>
      <c r="G2541" s="7"/>
      <c r="H2541" s="2"/>
      <c r="I2541" s="7"/>
      <c r="J2541" s="2"/>
      <c r="K2541" s="7"/>
      <c r="L2541" s="2"/>
      <c r="M2541" s="7"/>
    </row>
    <row r="2542" spans="1:13" ht="12.75">
      <c r="A2542" s="41" t="s">
        <v>26</v>
      </c>
      <c r="B2542" s="46"/>
      <c r="C2542" s="7"/>
      <c r="D2542" s="7"/>
      <c r="E2542" s="7">
        <f t="shared" si="47"/>
        <v>210</v>
      </c>
      <c r="F2542" s="7"/>
      <c r="G2542" s="7"/>
      <c r="H2542" s="2"/>
      <c r="I2542" s="7"/>
      <c r="J2542" s="2"/>
      <c r="K2542" s="7"/>
      <c r="L2542" s="2"/>
      <c r="M2542" s="7">
        <v>210</v>
      </c>
    </row>
    <row r="2543" spans="1:13" ht="12.75">
      <c r="A2543" s="41" t="s">
        <v>28</v>
      </c>
      <c r="B2543" s="46"/>
      <c r="C2543" s="7"/>
      <c r="D2543" s="7"/>
      <c r="E2543" s="7">
        <f t="shared" si="47"/>
        <v>865</v>
      </c>
      <c r="F2543" s="7"/>
      <c r="G2543" s="7"/>
      <c r="H2543" s="2"/>
      <c r="I2543" s="7"/>
      <c r="J2543" s="2"/>
      <c r="K2543" s="7"/>
      <c r="L2543" s="2"/>
      <c r="M2543" s="7">
        <v>865</v>
      </c>
    </row>
    <row r="2544" spans="1:13" ht="12.75">
      <c r="A2544" s="41" t="s">
        <v>291</v>
      </c>
      <c r="B2544" s="46"/>
      <c r="C2544" s="7"/>
      <c r="D2544" s="7"/>
      <c r="E2544" s="7">
        <f t="shared" si="47"/>
        <v>250</v>
      </c>
      <c r="F2544" s="7"/>
      <c r="G2544" s="7"/>
      <c r="H2544" s="2"/>
      <c r="I2544" s="7"/>
      <c r="J2544" s="2"/>
      <c r="K2544" s="7">
        <v>250</v>
      </c>
      <c r="L2544" s="2"/>
      <c r="M2544" s="7"/>
    </row>
    <row r="2545" spans="1:13" ht="12.75">
      <c r="A2545" s="41" t="s">
        <v>378</v>
      </c>
      <c r="B2545" s="46"/>
      <c r="C2545" s="7"/>
      <c r="D2545" s="7"/>
      <c r="E2545" s="7">
        <f t="shared" si="47"/>
        <v>2602</v>
      </c>
      <c r="F2545" s="7"/>
      <c r="G2545" s="7"/>
      <c r="H2545" s="2"/>
      <c r="I2545" s="7"/>
      <c r="J2545" s="2"/>
      <c r="K2545" s="7"/>
      <c r="L2545" s="2"/>
      <c r="M2545" s="7">
        <v>2602</v>
      </c>
    </row>
    <row r="2546" spans="1:13" ht="12.75">
      <c r="A2546" s="41" t="s">
        <v>355</v>
      </c>
      <c r="B2546" s="46"/>
      <c r="C2546" s="7"/>
      <c r="D2546" s="7"/>
      <c r="E2546" s="7">
        <f t="shared" si="47"/>
        <v>550</v>
      </c>
      <c r="F2546" s="7"/>
      <c r="G2546" s="7"/>
      <c r="H2546" s="2"/>
      <c r="I2546" s="7"/>
      <c r="J2546" s="2"/>
      <c r="K2546" s="7">
        <v>550</v>
      </c>
      <c r="L2546" s="2"/>
      <c r="M2546" s="7"/>
    </row>
    <row r="2547" spans="1:13" ht="12.75">
      <c r="A2547" s="41" t="s">
        <v>150</v>
      </c>
      <c r="B2547" s="46"/>
      <c r="C2547" s="7"/>
      <c r="D2547" s="7"/>
      <c r="E2547" s="7">
        <f t="shared" si="47"/>
        <v>38</v>
      </c>
      <c r="F2547" s="7"/>
      <c r="G2547" s="7"/>
      <c r="H2547" s="2"/>
      <c r="I2547" s="7">
        <v>38</v>
      </c>
      <c r="J2547" s="2"/>
      <c r="K2547" s="7"/>
      <c r="L2547" s="2"/>
      <c r="M2547" s="7"/>
    </row>
    <row r="2548" spans="1:13" ht="12.75">
      <c r="A2548" s="41" t="s">
        <v>379</v>
      </c>
      <c r="B2548" s="46"/>
      <c r="C2548" s="7"/>
      <c r="D2548" s="7"/>
      <c r="E2548" s="7">
        <f t="shared" si="47"/>
        <v>129423</v>
      </c>
      <c r="F2548" s="7"/>
      <c r="G2548" s="7"/>
      <c r="H2548" s="2"/>
      <c r="I2548" s="7"/>
      <c r="J2548" s="2"/>
      <c r="K2548" s="7">
        <v>13451</v>
      </c>
      <c r="L2548" s="2"/>
      <c r="M2548" s="7">
        <v>115972</v>
      </c>
    </row>
    <row r="2549" spans="1:13" ht="12.75">
      <c r="A2549" s="41" t="s">
        <v>63</v>
      </c>
      <c r="B2549" s="46"/>
      <c r="C2549" s="7"/>
      <c r="D2549" s="7"/>
      <c r="E2549" s="7">
        <f t="shared" si="47"/>
        <v>0</v>
      </c>
      <c r="F2549" s="7"/>
      <c r="G2549" s="7"/>
      <c r="H2549" s="2"/>
      <c r="I2549" s="7"/>
      <c r="J2549" s="2"/>
      <c r="K2549" s="7"/>
      <c r="L2549" s="2"/>
      <c r="M2549" s="7"/>
    </row>
    <row r="2550" spans="1:13" ht="12.75">
      <c r="A2550" s="41" t="s">
        <v>266</v>
      </c>
      <c r="B2550" s="46"/>
      <c r="C2550" s="7"/>
      <c r="D2550" s="7"/>
      <c r="E2550" s="7">
        <f t="shared" si="47"/>
        <v>1350</v>
      </c>
      <c r="F2550" s="7"/>
      <c r="G2550" s="7"/>
      <c r="H2550" s="2"/>
      <c r="I2550" s="7">
        <v>1350</v>
      </c>
      <c r="J2550" s="2"/>
      <c r="K2550" s="7"/>
      <c r="L2550" s="2"/>
      <c r="M2550" s="7"/>
    </row>
    <row r="2551" spans="1:13" ht="12.75">
      <c r="A2551" s="41" t="s">
        <v>51</v>
      </c>
      <c r="B2551" s="46"/>
      <c r="C2551" s="7"/>
      <c r="D2551" s="7"/>
      <c r="E2551" s="7">
        <f t="shared" si="47"/>
        <v>10775.22</v>
      </c>
      <c r="F2551" s="7"/>
      <c r="G2551" s="7"/>
      <c r="H2551" s="2"/>
      <c r="I2551" s="7">
        <v>10775.22</v>
      </c>
      <c r="J2551" s="2"/>
      <c r="K2551" s="7"/>
      <c r="L2551" s="2"/>
      <c r="M2551" s="7"/>
    </row>
    <row r="2552" spans="1:13" ht="12.75">
      <c r="A2552" s="58" t="s">
        <v>52</v>
      </c>
      <c r="B2552" s="46"/>
      <c r="C2552" s="7"/>
      <c r="D2552" s="7"/>
      <c r="E2552" s="7">
        <f t="shared" si="47"/>
        <v>0</v>
      </c>
      <c r="F2552" s="7"/>
      <c r="G2552" s="7"/>
      <c r="H2552" s="2"/>
      <c r="I2552" s="7"/>
      <c r="J2552" s="2"/>
      <c r="K2552" s="7"/>
      <c r="L2552" s="2"/>
      <c r="M2552" s="7"/>
    </row>
    <row r="2553" spans="1:13" ht="12.75">
      <c r="A2553" s="41" t="s">
        <v>265</v>
      </c>
      <c r="B2553" s="46"/>
      <c r="C2553" s="7"/>
      <c r="D2553" s="7"/>
      <c r="E2553" s="7">
        <f t="shared" si="47"/>
        <v>195</v>
      </c>
      <c r="F2553" s="7"/>
      <c r="G2553" s="7"/>
      <c r="H2553" s="2"/>
      <c r="I2553" s="7">
        <v>195</v>
      </c>
      <c r="J2553" s="2"/>
      <c r="K2553" s="7"/>
      <c r="L2553" s="2"/>
      <c r="M2553" s="7"/>
    </row>
    <row r="2554" spans="1:13" ht="12.75">
      <c r="A2554" s="41" t="s">
        <v>264</v>
      </c>
      <c r="B2554" s="46"/>
      <c r="C2554" s="7"/>
      <c r="D2554" s="7"/>
      <c r="E2554" s="7">
        <f t="shared" si="47"/>
        <v>470</v>
      </c>
      <c r="F2554" s="7"/>
      <c r="G2554" s="7"/>
      <c r="H2554" s="2"/>
      <c r="I2554" s="7">
        <v>470</v>
      </c>
      <c r="J2554" s="2"/>
      <c r="K2554" s="7"/>
      <c r="L2554" s="2"/>
      <c r="M2554" s="7"/>
    </row>
    <row r="2555" spans="1:13" ht="12.75">
      <c r="A2555" s="41" t="s">
        <v>57</v>
      </c>
      <c r="B2555" s="46"/>
      <c r="C2555" s="7"/>
      <c r="D2555" s="7"/>
      <c r="E2555" s="7">
        <f t="shared" si="47"/>
        <v>10027.000093</v>
      </c>
      <c r="F2555" s="7" t="s">
        <v>164</v>
      </c>
      <c r="G2555" s="7">
        <v>10000</v>
      </c>
      <c r="H2555" s="2"/>
      <c r="I2555" s="7">
        <f>0.0071*C2510</f>
        <v>27.000093</v>
      </c>
      <c r="J2555" s="2"/>
      <c r="K2555" s="7"/>
      <c r="L2555" s="2"/>
      <c r="M2555" s="7"/>
    </row>
    <row r="2556" spans="1:13" ht="12.75">
      <c r="A2556" s="41" t="s">
        <v>33</v>
      </c>
      <c r="B2556" s="46"/>
      <c r="C2556" s="7"/>
      <c r="D2556" s="7"/>
      <c r="E2556" s="7">
        <f t="shared" si="47"/>
        <v>1237</v>
      </c>
      <c r="F2556" s="15"/>
      <c r="G2556" s="7"/>
      <c r="H2556" s="2"/>
      <c r="I2556" s="7"/>
      <c r="J2556" s="2"/>
      <c r="K2556" s="7"/>
      <c r="L2556" s="2"/>
      <c r="M2556" s="7">
        <v>1237</v>
      </c>
    </row>
    <row r="2557" spans="1:13" ht="12.75">
      <c r="A2557" s="41" t="s">
        <v>50</v>
      </c>
      <c r="B2557" s="46"/>
      <c r="C2557" s="7"/>
      <c r="D2557" s="7"/>
      <c r="E2557" s="7">
        <f t="shared" si="47"/>
        <v>4168.957208</v>
      </c>
      <c r="F2557" s="7"/>
      <c r="G2557" s="7">
        <f>0.2455*C2510</f>
        <v>933.5947649999999</v>
      </c>
      <c r="H2557" s="2"/>
      <c r="I2557" s="7">
        <f>0.5802*C2510</f>
        <v>2206.4019660000004</v>
      </c>
      <c r="J2557" s="2"/>
      <c r="K2557" s="7">
        <f>0.1437*K2510</f>
        <v>546.219507</v>
      </c>
      <c r="L2557" s="2"/>
      <c r="M2557" s="7">
        <f>0.127*K2510</f>
        <v>482.74097</v>
      </c>
    </row>
    <row r="2558" spans="1:13" ht="13.5" thickBot="1">
      <c r="A2558" s="48" t="s">
        <v>54</v>
      </c>
      <c r="B2558" s="49"/>
      <c r="C2558" s="50"/>
      <c r="D2558" s="50"/>
      <c r="E2558" s="50">
        <f t="shared" si="47"/>
        <v>117.087604</v>
      </c>
      <c r="F2558" s="50"/>
      <c r="G2558" s="50"/>
      <c r="H2558" s="22"/>
      <c r="I2558" s="50">
        <f>0.0078*C2510</f>
        <v>29.662073999999997</v>
      </c>
      <c r="J2558" s="22"/>
      <c r="K2558" s="50">
        <f>0.011*K2510</f>
        <v>41.81221</v>
      </c>
      <c r="L2558" s="22"/>
      <c r="M2558" s="50">
        <f>0.012*K2510</f>
        <v>45.61332</v>
      </c>
    </row>
    <row r="2559" spans="1:13" ht="13.5" thickBot="1">
      <c r="A2559" s="59" t="s">
        <v>10</v>
      </c>
      <c r="B2559" s="81"/>
      <c r="C2559" s="63"/>
      <c r="D2559" s="63"/>
      <c r="E2559" s="63">
        <f t="shared" si="47"/>
        <v>287376.04336270003</v>
      </c>
      <c r="F2559" s="63"/>
      <c r="G2559" s="63">
        <f>SUM(G2537:G2558)</f>
        <v>37013.847749299995</v>
      </c>
      <c r="H2559" s="26"/>
      <c r="I2559" s="63">
        <f>SUM(I2537:I2558)</f>
        <v>58360.0225911</v>
      </c>
      <c r="J2559" s="26"/>
      <c r="K2559" s="63">
        <f>SUM(K2537:K2558)</f>
        <v>42854.627411</v>
      </c>
      <c r="L2559" s="26"/>
      <c r="M2559" s="29">
        <f>SUM(M2537:M2558)</f>
        <v>149147.5456113</v>
      </c>
    </row>
    <row r="2560" spans="1:13" ht="12.75">
      <c r="A2560" s="60" t="s">
        <v>42</v>
      </c>
      <c r="B2560" s="55"/>
      <c r="C2560" s="66"/>
      <c r="D2560" s="66"/>
      <c r="E2560" s="56">
        <f t="shared" si="47"/>
        <v>0</v>
      </c>
      <c r="F2560" s="66"/>
      <c r="G2560" s="56"/>
      <c r="H2560" s="74"/>
      <c r="I2560" s="56"/>
      <c r="J2560" s="74"/>
      <c r="K2560" s="56"/>
      <c r="L2560" s="74"/>
      <c r="M2560" s="56"/>
    </row>
    <row r="2561" spans="1:13" ht="12.75">
      <c r="A2561" s="138" t="s">
        <v>437</v>
      </c>
      <c r="B2561" s="55"/>
      <c r="C2561" s="66"/>
      <c r="D2561" s="66"/>
      <c r="E2561" s="56">
        <f t="shared" si="47"/>
        <v>275.2</v>
      </c>
      <c r="F2561" s="66"/>
      <c r="G2561" s="56"/>
      <c r="H2561" s="74"/>
      <c r="I2561" s="56"/>
      <c r="J2561" s="74"/>
      <c r="K2561" s="56"/>
      <c r="L2561" s="74"/>
      <c r="M2561" s="56">
        <v>275.2</v>
      </c>
    </row>
    <row r="2562" spans="1:13" ht="12.75">
      <c r="A2562" s="41" t="s">
        <v>56</v>
      </c>
      <c r="B2562" s="46"/>
      <c r="C2562" s="7"/>
      <c r="D2562" s="7"/>
      <c r="E2562" s="56">
        <f t="shared" si="47"/>
        <v>0</v>
      </c>
      <c r="F2562" s="7"/>
      <c r="G2562" s="7"/>
      <c r="H2562" s="2"/>
      <c r="I2562" s="7"/>
      <c r="J2562" s="2"/>
      <c r="K2562" s="7"/>
      <c r="L2562" s="2"/>
      <c r="M2562" s="7"/>
    </row>
    <row r="2563" spans="1:13" ht="12.75">
      <c r="A2563" s="41" t="s">
        <v>156</v>
      </c>
      <c r="B2563" s="46"/>
      <c r="C2563" s="7"/>
      <c r="D2563" s="7"/>
      <c r="E2563" s="56">
        <f t="shared" si="47"/>
        <v>160</v>
      </c>
      <c r="F2563" s="7"/>
      <c r="G2563" s="7">
        <v>160</v>
      </c>
      <c r="H2563" s="2"/>
      <c r="I2563" s="7"/>
      <c r="J2563" s="2"/>
      <c r="K2563" s="7"/>
      <c r="L2563" s="2"/>
      <c r="M2563" s="7"/>
    </row>
    <row r="2564" spans="1:13" ht="13.5" thickBot="1">
      <c r="A2564" s="48" t="s">
        <v>16</v>
      </c>
      <c r="B2564" s="49"/>
      <c r="C2564" s="50"/>
      <c r="D2564" s="50"/>
      <c r="E2564" s="50">
        <f t="shared" si="47"/>
        <v>135.714935</v>
      </c>
      <c r="F2564" s="50"/>
      <c r="G2564" s="50">
        <f>0.0089*C2510</f>
        <v>33.845186999999996</v>
      </c>
      <c r="H2564" s="22"/>
      <c r="I2564" s="50"/>
      <c r="J2564" s="22"/>
      <c r="K2564" s="50"/>
      <c r="L2564" s="22"/>
      <c r="M2564" s="50">
        <f>0.0268*K2510</f>
        <v>101.869748</v>
      </c>
    </row>
    <row r="2565" spans="1:13" ht="13.5" thickBot="1">
      <c r="A2565" s="62" t="s">
        <v>10</v>
      </c>
      <c r="B2565" s="81"/>
      <c r="C2565" s="63"/>
      <c r="D2565" s="63"/>
      <c r="E2565" s="63">
        <f t="shared" si="47"/>
        <v>570.914935</v>
      </c>
      <c r="F2565" s="63"/>
      <c r="G2565" s="63">
        <f>SUM(G2562:G2564)</f>
        <v>193.845187</v>
      </c>
      <c r="H2565" s="26"/>
      <c r="I2565" s="63"/>
      <c r="J2565" s="26"/>
      <c r="K2565" s="63"/>
      <c r="L2565" s="26"/>
      <c r="M2565" s="29">
        <f>SUM(M2561:M2564)</f>
        <v>377.069748</v>
      </c>
    </row>
    <row r="2566" spans="1:13" ht="13.5" thickBot="1">
      <c r="A2566" s="64" t="s">
        <v>29</v>
      </c>
      <c r="B2566" s="81"/>
      <c r="C2566" s="63"/>
      <c r="D2566" s="63"/>
      <c r="E2566" s="63">
        <f t="shared" si="47"/>
        <v>8716.560501</v>
      </c>
      <c r="F2566" s="63"/>
      <c r="G2566" s="63">
        <f>0.4236*C2510</f>
        <v>1610.878788</v>
      </c>
      <c r="H2566" s="26"/>
      <c r="I2566" s="63">
        <f>0.5971*C2510</f>
        <v>2270.669793</v>
      </c>
      <c r="J2566" s="26"/>
      <c r="K2566" s="63"/>
      <c r="L2566" s="26"/>
      <c r="M2566" s="29">
        <f>1.272*K2510</f>
        <v>4835.01192</v>
      </c>
    </row>
    <row r="2567" spans="1:13" ht="21.75">
      <c r="A2567" s="65" t="s">
        <v>83</v>
      </c>
      <c r="B2567" s="61"/>
      <c r="C2567" s="56"/>
      <c r="D2567" s="56"/>
      <c r="E2567" s="56">
        <f t="shared" si="47"/>
        <v>573350.4096983001</v>
      </c>
      <c r="F2567" s="56"/>
      <c r="G2567" s="56">
        <f>G2535+G2559+G2565+G2566</f>
        <v>106029.9748635</v>
      </c>
      <c r="H2567" s="74"/>
      <c r="I2567" s="56">
        <f>I2535+I2559+I2565+I2566</f>
        <v>137161.47863390003</v>
      </c>
      <c r="J2567" s="74"/>
      <c r="K2567" s="56">
        <f>K2535+K2559+K2565+K2566</f>
        <v>114764.2076879</v>
      </c>
      <c r="L2567" s="74"/>
      <c r="M2567" s="56">
        <f>M2535+M2559+M2565+M2566</f>
        <v>215394.748513</v>
      </c>
    </row>
    <row r="2568" spans="1:13" ht="33.75">
      <c r="A2568" s="67" t="s">
        <v>84</v>
      </c>
      <c r="B2568" s="46"/>
      <c r="C2568" s="7"/>
      <c r="D2568" s="7"/>
      <c r="E2568" s="8">
        <f>E25553/6/C2510</f>
        <v>0</v>
      </c>
      <c r="F2568" s="7"/>
      <c r="G2568" s="8">
        <f>G2567/3/C2510</f>
        <v>9.29395343849186</v>
      </c>
      <c r="H2568" s="2"/>
      <c r="I2568" s="8">
        <f>I2567/3/C2510</f>
        <v>12.022754863605966</v>
      </c>
      <c r="J2568" s="2"/>
      <c r="K2568" s="8">
        <f>K2567/3/K2510</f>
        <v>10.064095986689853</v>
      </c>
      <c r="L2568" s="2"/>
      <c r="M2568" s="8">
        <f>M2567/3/K2510</f>
        <v>18.888758679526067</v>
      </c>
    </row>
    <row r="2569" spans="1:13" ht="12.75">
      <c r="A2569" s="69" t="s">
        <v>20</v>
      </c>
      <c r="B2569" s="44"/>
      <c r="C2569" s="45"/>
      <c r="D2569" s="45"/>
      <c r="E2569" s="7">
        <f>E2515-E2567</f>
        <v>-221969.66969830007</v>
      </c>
      <c r="F2569" s="45"/>
      <c r="G2569" s="7">
        <f>G2515-G2567</f>
        <v>-23348.284863499997</v>
      </c>
      <c r="H2569" s="2"/>
      <c r="I2569" s="7">
        <f>I2515-I2567-23348</f>
        <v>-79200.88863390003</v>
      </c>
      <c r="J2569" s="2"/>
      <c r="K2569" s="7">
        <f>K2515-K2567-79201</f>
        <v>-105108.88768789999</v>
      </c>
      <c r="L2569" s="2"/>
      <c r="M2569" s="7">
        <f>M2515-M2567-105109</f>
        <v>-221969.608513</v>
      </c>
    </row>
    <row r="2570" spans="1:13" ht="12.75">
      <c r="A2570" s="14" t="s">
        <v>24</v>
      </c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</row>
    <row r="2571" spans="1:13" ht="12.75">
      <c r="A2571" s="14" t="s">
        <v>35</v>
      </c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</row>
    <row r="2572" spans="1:13" ht="12.75">
      <c r="A2572" s="14" t="s">
        <v>25</v>
      </c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</row>
    <row r="2573" spans="1:13" ht="12.75">
      <c r="A2573" s="14"/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</row>
    <row r="2574" spans="1:13" ht="12.75">
      <c r="A2574" s="14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</row>
    <row r="2575" spans="1:13" ht="12.75">
      <c r="A2575" s="14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</row>
    <row r="2576" spans="1:13" ht="12.75">
      <c r="A2576" s="14"/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</row>
    <row r="2577" spans="1:13" ht="12.75">
      <c r="A2577" s="14"/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</row>
    <row r="2578" spans="1:13" ht="12.75">
      <c r="A2578" s="14"/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</row>
    <row r="2579" spans="1:13" ht="12.75">
      <c r="A2579" s="14"/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</row>
    <row r="2580" spans="1:13" ht="12.75">
      <c r="A2580" s="14"/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</row>
    <row r="2581" spans="1:13" ht="12.75">
      <c r="A2581" s="14"/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</row>
    <row r="2582" spans="1:13" ht="12.75">
      <c r="A2582" s="14"/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</row>
    <row r="2583" spans="1:13" ht="12.75">
      <c r="A2583" s="14"/>
      <c r="B2583" s="14"/>
      <c r="C2583" s="14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</row>
    <row r="2584" spans="1:13" ht="12.75">
      <c r="A2584" s="14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</row>
    <row r="2585" spans="1:13" ht="12.75">
      <c r="A2585" s="14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</row>
    <row r="2586" spans="1:13" ht="0.75" customHeight="1">
      <c r="A2586" s="14"/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</row>
    <row r="2587" spans="1:13" ht="12.75" hidden="1">
      <c r="A2587" s="14"/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</row>
    <row r="2588" spans="1:13" ht="2.25" customHeight="1" hidden="1">
      <c r="A2588" s="14"/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</row>
    <row r="2589" spans="1:13" ht="12.75" hidden="1">
      <c r="A2589" s="14"/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</row>
    <row r="2590" spans="1:13" ht="12.75" hidden="1">
      <c r="A2590" s="14"/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</row>
    <row r="2591" spans="1:13" ht="12.75" hidden="1">
      <c r="A2591" s="14"/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</row>
    <row r="2592" spans="1:13" ht="12.75" hidden="1">
      <c r="A2592" s="14"/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</row>
    <row r="2593" spans="1:13" ht="12.75" hidden="1">
      <c r="A2593" s="14"/>
      <c r="B2593" s="14"/>
      <c r="C2593" s="14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</row>
    <row r="2594" spans="1:13" ht="12.75" hidden="1">
      <c r="A2594" s="14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</row>
    <row r="2595" spans="1:13" ht="39.75" customHeight="1" hidden="1">
      <c r="A2595" s="14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</row>
    <row r="2596" spans="1:13" ht="12.75" hidden="1">
      <c r="A2596" s="14"/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</row>
    <row r="2597" spans="1:13" ht="12.75" hidden="1">
      <c r="A2597" s="14"/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</row>
    <row r="2598" spans="1:13" ht="12.75" hidden="1">
      <c r="A2598" s="14"/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</row>
    <row r="2599" spans="1:13" ht="12.75" hidden="1">
      <c r="A2599" s="14"/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</row>
    <row r="2600" spans="1:13" ht="12.75" hidden="1">
      <c r="A2600" s="14"/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</row>
    <row r="2601" spans="1:13" ht="12.75" hidden="1">
      <c r="A2601" s="14"/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</row>
    <row r="2602" spans="1:13" ht="12.75" hidden="1">
      <c r="A2602" s="14"/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</row>
    <row r="2603" spans="1:13" ht="12.75" hidden="1">
      <c r="A2603" s="14"/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</row>
    <row r="2604" spans="1:13" ht="9.75" customHeight="1" hidden="1">
      <c r="A2604" s="14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</row>
    <row r="2605" spans="1:13" ht="12.75" hidden="1">
      <c r="A2605" s="14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</row>
    <row r="2606" spans="1:13" ht="12.75" hidden="1">
      <c r="A2606" s="14"/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</row>
    <row r="2607" spans="1:13" ht="12.75" hidden="1">
      <c r="A2607" s="14"/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</row>
    <row r="2608" spans="1:13" ht="12.75" hidden="1">
      <c r="A2608" s="14"/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</row>
    <row r="2609" spans="1:13" ht="12.75" hidden="1">
      <c r="A2609" s="14"/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</row>
    <row r="2610" spans="1:13" ht="12.75" hidden="1">
      <c r="A2610" s="14"/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</row>
    <row r="2611" spans="1:13" ht="12.75" hidden="1">
      <c r="A2611" s="14"/>
      <c r="B2611" s="14"/>
      <c r="C2611" s="14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</row>
    <row r="2612" spans="1:13" ht="12.75" hidden="1">
      <c r="A2612" s="14"/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</row>
    <row r="2613" spans="1:13" ht="12.75" hidden="1">
      <c r="A2613" s="14"/>
      <c r="B2613" s="14"/>
      <c r="C2613" s="14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</row>
    <row r="2614" spans="1:13" ht="12.75" hidden="1">
      <c r="A2614" s="14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</row>
    <row r="2615" spans="1:13" ht="12.75" hidden="1">
      <c r="A2615" s="14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</row>
    <row r="2616" spans="1:13" ht="12.75" hidden="1">
      <c r="A2616" s="14"/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</row>
    <row r="2617" spans="1:13" ht="12.75" hidden="1">
      <c r="A2617" s="14"/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</row>
    <row r="2618" spans="1:13" ht="12.75" hidden="1">
      <c r="A2618" s="14"/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</row>
    <row r="2619" spans="1:13" ht="12.75">
      <c r="A2619" s="31" t="s">
        <v>21</v>
      </c>
      <c r="B2619" s="31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</row>
    <row r="2620" spans="1:13" ht="12.75">
      <c r="A2620" s="14" t="s">
        <v>31</v>
      </c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</row>
    <row r="2621" spans="1:13" ht="12.75">
      <c r="A2621" s="14" t="s">
        <v>41</v>
      </c>
      <c r="B2621" s="14"/>
      <c r="C2621" s="14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</row>
    <row r="2622" spans="1:13" ht="12.75">
      <c r="A2622" s="14" t="s">
        <v>128</v>
      </c>
      <c r="B2622" s="14"/>
      <c r="C2622" s="14"/>
      <c r="D2622" s="14"/>
      <c r="E2622" s="14" t="s">
        <v>32</v>
      </c>
      <c r="F2622" s="14"/>
      <c r="G2622" s="14"/>
      <c r="H2622" s="14"/>
      <c r="I2622" s="14"/>
      <c r="J2622" s="14"/>
      <c r="K2622" s="14"/>
      <c r="L2622" s="14"/>
      <c r="M2622" s="14"/>
    </row>
    <row r="2623" spans="1:13" ht="12.75" customHeight="1">
      <c r="A2623" s="6" t="s">
        <v>0</v>
      </c>
      <c r="B2623" s="151" t="s">
        <v>38</v>
      </c>
      <c r="C2623" s="152"/>
      <c r="D2623" s="149" t="s">
        <v>39</v>
      </c>
      <c r="E2623" s="150"/>
      <c r="F2623" s="149" t="s">
        <v>96</v>
      </c>
      <c r="G2623" s="150"/>
      <c r="H2623" s="149" t="s">
        <v>97</v>
      </c>
      <c r="I2623" s="150"/>
      <c r="J2623" s="149" t="s">
        <v>98</v>
      </c>
      <c r="K2623" s="150"/>
      <c r="L2623" s="149" t="s">
        <v>99</v>
      </c>
      <c r="M2623" s="150"/>
    </row>
    <row r="2624" spans="1:13" ht="12.75">
      <c r="A2624" s="11" t="s">
        <v>5</v>
      </c>
      <c r="B2624" s="153"/>
      <c r="C2624" s="154"/>
      <c r="D2624" s="6" t="s">
        <v>40</v>
      </c>
      <c r="E2624" s="6" t="s">
        <v>22</v>
      </c>
      <c r="F2624" s="6" t="s">
        <v>40</v>
      </c>
      <c r="G2624" s="13" t="s">
        <v>22</v>
      </c>
      <c r="H2624" s="2"/>
      <c r="I2624" s="2"/>
      <c r="J2624" s="2"/>
      <c r="K2624" s="2"/>
      <c r="L2624" s="2"/>
      <c r="M2624" s="2"/>
    </row>
    <row r="2625" spans="1:13" ht="12.75">
      <c r="A2625" s="2" t="s">
        <v>1</v>
      </c>
      <c r="B2625" s="2"/>
      <c r="C2625" s="6">
        <v>5</v>
      </c>
      <c r="D2625" s="2"/>
      <c r="E2625" s="2"/>
      <c r="F2625" s="2"/>
      <c r="G2625" s="2"/>
      <c r="H2625" s="2"/>
      <c r="I2625" s="2"/>
      <c r="J2625" s="2"/>
      <c r="K2625" s="2"/>
      <c r="L2625" s="2"/>
      <c r="M2625" s="2"/>
    </row>
    <row r="2626" spans="1:13" ht="12.75">
      <c r="A2626" s="2" t="s">
        <v>2</v>
      </c>
      <c r="B2626" s="2"/>
      <c r="C2626" s="6">
        <v>4</v>
      </c>
      <c r="D2626" s="2"/>
      <c r="E2626" s="2"/>
      <c r="F2626" s="2"/>
      <c r="G2626" s="2"/>
      <c r="H2626" s="2"/>
      <c r="I2626" s="2"/>
      <c r="J2626" s="2"/>
      <c r="K2626" s="2"/>
      <c r="L2626" s="2"/>
      <c r="M2626" s="2"/>
    </row>
    <row r="2627" spans="1:13" ht="12.75">
      <c r="A2627" s="2" t="s">
        <v>3</v>
      </c>
      <c r="B2627" s="2"/>
      <c r="C2627" s="6">
        <v>80</v>
      </c>
      <c r="D2627" s="2"/>
      <c r="E2627" s="2"/>
      <c r="F2627" s="2"/>
      <c r="G2627" s="2"/>
      <c r="H2627" s="2"/>
      <c r="I2627" s="2"/>
      <c r="J2627" s="2"/>
      <c r="K2627" s="2"/>
      <c r="L2627" s="2"/>
      <c r="M2627" s="2"/>
    </row>
    <row r="2628" spans="1:13" ht="12.75">
      <c r="A2628" s="2" t="s">
        <v>4</v>
      </c>
      <c r="B2628" s="6"/>
      <c r="C2628" s="6">
        <v>3793.7</v>
      </c>
      <c r="D2628" s="6"/>
      <c r="E2628" s="6"/>
      <c r="F2628" s="6"/>
      <c r="G2628" s="2"/>
      <c r="H2628" s="2"/>
      <c r="I2628" s="2"/>
      <c r="J2628" s="2"/>
      <c r="K2628" s="2">
        <v>3880.99</v>
      </c>
      <c r="L2628" s="2"/>
      <c r="M2628" s="2"/>
    </row>
    <row r="2629" spans="1:13" ht="21.75">
      <c r="A2629" s="35" t="s">
        <v>6</v>
      </c>
      <c r="B2629" s="42"/>
      <c r="C2629" s="2" t="s">
        <v>22</v>
      </c>
      <c r="D2629" s="2"/>
      <c r="E2629" s="2"/>
      <c r="F2629" s="2"/>
      <c r="G2629" s="2"/>
      <c r="H2629" s="2"/>
      <c r="I2629" s="2"/>
      <c r="J2629" s="2"/>
      <c r="K2629" s="2"/>
      <c r="L2629" s="2"/>
      <c r="M2629" s="2"/>
    </row>
    <row r="2630" spans="1:13" ht="22.5">
      <c r="A2630" s="40" t="s">
        <v>7</v>
      </c>
      <c r="B2630" s="3"/>
      <c r="C2630" s="6"/>
      <c r="D2630" s="6"/>
      <c r="E2630" s="6">
        <f>G2630+I2630+K2630+M2630</f>
        <v>421568.72000000003</v>
      </c>
      <c r="F2630" s="2"/>
      <c r="G2630" s="2">
        <v>99017.73</v>
      </c>
      <c r="H2630" s="2"/>
      <c r="I2630" s="2">
        <v>101636.83</v>
      </c>
      <c r="J2630" s="2"/>
      <c r="K2630" s="2">
        <v>112339.97</v>
      </c>
      <c r="L2630" s="2"/>
      <c r="M2630" s="2">
        <v>108574.19</v>
      </c>
    </row>
    <row r="2631" spans="1:13" ht="12.75">
      <c r="A2631" s="41" t="s">
        <v>8</v>
      </c>
      <c r="B2631" s="3"/>
      <c r="C2631" s="6"/>
      <c r="D2631" s="6"/>
      <c r="E2631" s="6">
        <f>G2631+I2631+K2631+M2631</f>
        <v>24894.23</v>
      </c>
      <c r="F2631" s="2"/>
      <c r="G2631" s="2">
        <v>1140.48</v>
      </c>
      <c r="H2631" s="2"/>
      <c r="I2631" s="2"/>
      <c r="J2631" s="2"/>
      <c r="K2631" s="2">
        <v>14801.75</v>
      </c>
      <c r="L2631" s="2"/>
      <c r="M2631" s="2">
        <v>8952</v>
      </c>
    </row>
    <row r="2632" spans="1:13" ht="22.5">
      <c r="A2632" s="41" t="s">
        <v>267</v>
      </c>
      <c r="B2632" s="3"/>
      <c r="C2632" s="6"/>
      <c r="D2632" s="6"/>
      <c r="E2632" s="4">
        <f>G2632+I2632+K2632+M2632</f>
        <v>1900.8</v>
      </c>
      <c r="F2632" s="2"/>
      <c r="G2632" s="2"/>
      <c r="H2632" s="2"/>
      <c r="I2632" s="4">
        <v>1900.8</v>
      </c>
      <c r="J2632" s="2"/>
      <c r="K2632" s="2"/>
      <c r="L2632" s="2"/>
      <c r="M2632" s="2"/>
    </row>
    <row r="2633" spans="1:13" ht="12.75">
      <c r="A2633" s="2" t="s">
        <v>10</v>
      </c>
      <c r="B2633" s="42"/>
      <c r="C2633" s="11"/>
      <c r="D2633" s="11"/>
      <c r="E2633" s="11">
        <f>SUM(E2630:E2632)</f>
        <v>448363.75</v>
      </c>
      <c r="F2633" s="37"/>
      <c r="G2633" s="37">
        <f>SUM(G2630:G2632)</f>
        <v>100158.20999999999</v>
      </c>
      <c r="H2633" s="2"/>
      <c r="I2633" s="2">
        <f>SUM(I2630:I2632)</f>
        <v>103537.63</v>
      </c>
      <c r="J2633" s="2"/>
      <c r="K2633" s="2">
        <f>SUM(K2630:K2632)</f>
        <v>127141.72</v>
      </c>
      <c r="L2633" s="2"/>
      <c r="M2633" s="2">
        <f>SUM(M2630:M2632)</f>
        <v>117526.19</v>
      </c>
    </row>
    <row r="2634" spans="1:13" ht="21.75">
      <c r="A2634" s="35" t="s">
        <v>82</v>
      </c>
      <c r="B2634" s="4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</row>
    <row r="2635" spans="1:13" ht="12.75">
      <c r="A2635" s="43" t="s">
        <v>11</v>
      </c>
      <c r="B2635" s="44"/>
      <c r="C2635" s="45"/>
      <c r="D2635" s="45"/>
      <c r="E2635" s="45">
        <f>G2635+I2635+K2635+M2635</f>
        <v>125064.49708839999</v>
      </c>
      <c r="F2635" s="45"/>
      <c r="G2635" s="45">
        <f>7.99407*C2628</f>
        <v>30327.103358999997</v>
      </c>
      <c r="H2635" s="2"/>
      <c r="I2635" s="7">
        <f>9.57707*C2628</f>
        <v>36332.530459</v>
      </c>
      <c r="J2635" s="2"/>
      <c r="K2635" s="7">
        <f>7.32829*K2628</f>
        <v>28441.0202071</v>
      </c>
      <c r="L2635" s="2"/>
      <c r="M2635" s="7">
        <f>7.72067*K2628</f>
        <v>29963.8430633</v>
      </c>
    </row>
    <row r="2636" spans="1:13" ht="12.75">
      <c r="A2636" s="43" t="s">
        <v>12</v>
      </c>
      <c r="B2636" s="46"/>
      <c r="C2636" s="7"/>
      <c r="D2636" s="7"/>
      <c r="E2636" s="7">
        <f aca="true" t="shared" si="48" ref="E2636:E2676">G2636+I2636+K2636+M2636</f>
        <v>0</v>
      </c>
      <c r="F2636" s="7"/>
      <c r="G2636" s="7"/>
      <c r="H2636" s="2"/>
      <c r="I2636" s="7"/>
      <c r="J2636" s="2"/>
      <c r="K2636" s="7"/>
      <c r="L2636" s="2"/>
      <c r="M2636" s="7"/>
    </row>
    <row r="2637" spans="1:13" ht="12.75">
      <c r="A2637" s="41" t="s">
        <v>13</v>
      </c>
      <c r="B2637" s="46"/>
      <c r="C2637" s="7"/>
      <c r="D2637" s="7"/>
      <c r="E2637" s="45">
        <f t="shared" si="48"/>
        <v>143604.1850071</v>
      </c>
      <c r="F2637" s="45"/>
      <c r="G2637" s="45">
        <f>G2638+G2640+G2641+G2642+G2643+G2644+G2645+G2646+G2647+G2648</f>
        <v>34966.596529</v>
      </c>
      <c r="H2637" s="2"/>
      <c r="I2637" s="7">
        <f>I2638+I2640+I2641+I2642+I2643+I2644+I2645+I2646+I2647+I2648+I2649</f>
        <v>37690.608363</v>
      </c>
      <c r="J2637" s="2"/>
      <c r="K2637" s="7">
        <f>K2638+K2640+K2641+K2642+K2643+K2644+K2645+K2646+K2647+K2648+K2649</f>
        <v>36253.7835051</v>
      </c>
      <c r="L2637" s="2"/>
      <c r="M2637" s="7">
        <f>M2638+M2640+M2641+M2642+M2643+M2644+M2645+M2646+M2647+M2648+M2649</f>
        <v>34693.19661</v>
      </c>
    </row>
    <row r="2638" spans="1:13" ht="12.75">
      <c r="A2638" s="47" t="s">
        <v>14</v>
      </c>
      <c r="B2638" s="46"/>
      <c r="C2638" s="71"/>
      <c r="D2638" s="7"/>
      <c r="E2638" s="7">
        <f t="shared" si="48"/>
        <v>130301</v>
      </c>
      <c r="F2638" s="7"/>
      <c r="G2638" s="7">
        <v>32590</v>
      </c>
      <c r="H2638" s="2"/>
      <c r="I2638" s="7">
        <v>31467</v>
      </c>
      <c r="J2638" s="2"/>
      <c r="K2638" s="7">
        <v>33432</v>
      </c>
      <c r="L2638" s="2"/>
      <c r="M2638" s="7">
        <v>32812</v>
      </c>
    </row>
    <row r="2639" spans="1:13" ht="12.75">
      <c r="A2639" s="41" t="s">
        <v>19</v>
      </c>
      <c r="B2639" s="46"/>
      <c r="C2639" s="71"/>
      <c r="D2639" s="7"/>
      <c r="E2639" s="7">
        <f t="shared" si="48"/>
        <v>79720</v>
      </c>
      <c r="F2639" s="7"/>
      <c r="G2639" s="7">
        <v>19940</v>
      </c>
      <c r="H2639" s="2"/>
      <c r="I2639" s="7">
        <v>19940</v>
      </c>
      <c r="J2639" s="2"/>
      <c r="K2639" s="7">
        <v>19920</v>
      </c>
      <c r="L2639" s="2"/>
      <c r="M2639" s="7">
        <v>19920</v>
      </c>
    </row>
    <row r="2640" spans="1:13" ht="12.75">
      <c r="A2640" s="41" t="s">
        <v>18</v>
      </c>
      <c r="B2640" s="46"/>
      <c r="C2640" s="7"/>
      <c r="D2640" s="7"/>
      <c r="E2640" s="7">
        <f t="shared" si="48"/>
        <v>1410.23</v>
      </c>
      <c r="F2640" s="7"/>
      <c r="G2640" s="7">
        <v>221.13</v>
      </c>
      <c r="H2640" s="2"/>
      <c r="I2640" s="7">
        <v>311.22</v>
      </c>
      <c r="J2640" s="2"/>
      <c r="K2640" s="7">
        <v>421.43</v>
      </c>
      <c r="L2640" s="2"/>
      <c r="M2640" s="7">
        <v>456.45</v>
      </c>
    </row>
    <row r="2641" spans="1:13" ht="12.75">
      <c r="A2641" s="41" t="s">
        <v>53</v>
      </c>
      <c r="B2641" s="46"/>
      <c r="C2641" s="7"/>
      <c r="D2641" s="7"/>
      <c r="E2641" s="7">
        <f t="shared" si="48"/>
        <v>7373.027662099999</v>
      </c>
      <c r="F2641" s="7"/>
      <c r="G2641" s="7">
        <f>0.54857*C2628</f>
        <v>2081.110009</v>
      </c>
      <c r="H2641" s="2"/>
      <c r="I2641" s="7">
        <f>0.53049*C2628</f>
        <v>2012.5199129999999</v>
      </c>
      <c r="J2641" s="2"/>
      <c r="K2641" s="7">
        <f>0.60599*K2628</f>
        <v>2351.8411301</v>
      </c>
      <c r="L2641" s="2"/>
      <c r="M2641" s="7">
        <f>0.239*K2628</f>
        <v>927.5566099999999</v>
      </c>
    </row>
    <row r="2642" spans="1:13" ht="12.75">
      <c r="A2642" s="41" t="s">
        <v>148</v>
      </c>
      <c r="B2642" s="46"/>
      <c r="C2642" s="7"/>
      <c r="D2642" s="7"/>
      <c r="E2642" s="7">
        <f t="shared" si="48"/>
        <v>225</v>
      </c>
      <c r="F2642" s="7"/>
      <c r="G2642" s="7"/>
      <c r="H2642" s="2"/>
      <c r="I2642" s="7">
        <v>225</v>
      </c>
      <c r="J2642" s="2"/>
      <c r="K2642" s="7"/>
      <c r="L2642" s="2"/>
      <c r="M2642" s="7"/>
    </row>
    <row r="2643" spans="1:13" ht="12.75">
      <c r="A2643" s="41" t="s">
        <v>27</v>
      </c>
      <c r="B2643" s="46"/>
      <c r="C2643" s="7"/>
      <c r="D2643" s="7"/>
      <c r="E2643" s="7">
        <f t="shared" si="48"/>
        <v>784</v>
      </c>
      <c r="F2643" s="7"/>
      <c r="G2643" s="7"/>
      <c r="H2643" s="2"/>
      <c r="I2643" s="7">
        <v>784</v>
      </c>
      <c r="J2643" s="2"/>
      <c r="K2643" s="7"/>
      <c r="L2643" s="2"/>
      <c r="M2643" s="7"/>
    </row>
    <row r="2644" spans="1:13" ht="12.75">
      <c r="A2644" s="41" t="s">
        <v>36</v>
      </c>
      <c r="B2644" s="46"/>
      <c r="C2644" s="7"/>
      <c r="D2644" s="7"/>
      <c r="E2644" s="7">
        <f t="shared" si="48"/>
        <v>1643.19</v>
      </c>
      <c r="F2644" s="7"/>
      <c r="G2644" s="7"/>
      <c r="H2644" s="2" t="s">
        <v>268</v>
      </c>
      <c r="I2644" s="7">
        <v>1146</v>
      </c>
      <c r="J2644" s="2"/>
      <c r="K2644" s="7"/>
      <c r="L2644" s="2" t="s">
        <v>438</v>
      </c>
      <c r="M2644" s="7">
        <v>497.19</v>
      </c>
    </row>
    <row r="2645" spans="1:13" ht="12.75">
      <c r="A2645" s="41" t="s">
        <v>58</v>
      </c>
      <c r="B2645" s="46"/>
      <c r="C2645" s="7"/>
      <c r="D2645" s="7"/>
      <c r="E2645" s="7">
        <f t="shared" si="48"/>
        <v>0</v>
      </c>
      <c r="F2645" s="7"/>
      <c r="G2645" s="7"/>
      <c r="H2645" s="2"/>
      <c r="I2645" s="7"/>
      <c r="J2645" s="2"/>
      <c r="K2645" s="7"/>
      <c r="L2645" s="2"/>
      <c r="M2645" s="7"/>
    </row>
    <row r="2646" spans="1:13" ht="12.75">
      <c r="A2646" s="41" t="s">
        <v>248</v>
      </c>
      <c r="B2646" s="46"/>
      <c r="C2646" s="7"/>
      <c r="D2646" s="7"/>
      <c r="E2646" s="7">
        <f t="shared" si="48"/>
        <v>1485</v>
      </c>
      <c r="F2646" s="7"/>
      <c r="G2646" s="7"/>
      <c r="H2646" s="2"/>
      <c r="I2646" s="7">
        <v>1485</v>
      </c>
      <c r="J2646" s="2"/>
      <c r="K2646" s="7"/>
      <c r="L2646" s="2"/>
      <c r="M2646" s="7"/>
    </row>
    <row r="2647" spans="1:13" ht="12.75">
      <c r="A2647" s="41" t="s">
        <v>30</v>
      </c>
      <c r="B2647" s="46"/>
      <c r="C2647" s="7"/>
      <c r="D2647" s="7"/>
      <c r="E2647" s="7">
        <f t="shared" si="48"/>
        <v>0</v>
      </c>
      <c r="F2647" s="7"/>
      <c r="G2647" s="7"/>
      <c r="H2647" s="2"/>
      <c r="I2647" s="7"/>
      <c r="J2647" s="2"/>
      <c r="K2647" s="7"/>
      <c r="L2647" s="2"/>
      <c r="M2647" s="7"/>
    </row>
    <row r="2648" spans="1:13" ht="12.75">
      <c r="A2648" s="41" t="s">
        <v>54</v>
      </c>
      <c r="B2648" s="46"/>
      <c r="C2648" s="7"/>
      <c r="D2648" s="7"/>
      <c r="E2648" s="7">
        <f t="shared" si="48"/>
        <v>74.35651999999999</v>
      </c>
      <c r="F2648" s="7"/>
      <c r="G2648" s="7">
        <f>0.0196*C2628</f>
        <v>74.35651999999999</v>
      </c>
      <c r="H2648" s="2"/>
      <c r="I2648" s="7"/>
      <c r="J2648" s="2"/>
      <c r="K2648" s="7"/>
      <c r="L2648" s="2"/>
      <c r="M2648" s="7"/>
    </row>
    <row r="2649" spans="1:13" ht="13.5" thickBot="1">
      <c r="A2649" s="48" t="s">
        <v>55</v>
      </c>
      <c r="B2649" s="49"/>
      <c r="C2649" s="50"/>
      <c r="D2649" s="50"/>
      <c r="E2649" s="50">
        <f t="shared" si="48"/>
        <v>308.380825</v>
      </c>
      <c r="F2649" s="50"/>
      <c r="G2649" s="50"/>
      <c r="H2649" s="22"/>
      <c r="I2649" s="50">
        <f>0.0685*C2628</f>
        <v>259.86845</v>
      </c>
      <c r="J2649" s="22"/>
      <c r="K2649" s="50">
        <f>0.0125*K2628</f>
        <v>48.512375</v>
      </c>
      <c r="L2649" s="22"/>
      <c r="M2649" s="50"/>
    </row>
    <row r="2650" spans="1:13" ht="13.5" thickBot="1">
      <c r="A2650" s="106" t="s">
        <v>76</v>
      </c>
      <c r="B2650" s="81"/>
      <c r="C2650" s="63"/>
      <c r="D2650" s="63"/>
      <c r="E2650" s="63">
        <f t="shared" si="48"/>
        <v>268668.6820955</v>
      </c>
      <c r="F2650" s="63"/>
      <c r="G2650" s="63">
        <f>G2635+G2637</f>
        <v>65293.699888</v>
      </c>
      <c r="H2650" s="26"/>
      <c r="I2650" s="63">
        <f>I2635+I2637</f>
        <v>74023.13882200001</v>
      </c>
      <c r="J2650" s="26"/>
      <c r="K2650" s="63">
        <f>K2635+K2637</f>
        <v>64694.803712199995</v>
      </c>
      <c r="L2650" s="26"/>
      <c r="M2650" s="29">
        <f>M2635+M2637</f>
        <v>64657.039673299994</v>
      </c>
    </row>
    <row r="2651" spans="1:13" ht="15" customHeight="1">
      <c r="A2651" s="54" t="s">
        <v>15</v>
      </c>
      <c r="B2651" s="55"/>
      <c r="C2651" s="66"/>
      <c r="D2651" s="66"/>
      <c r="E2651" s="56">
        <f t="shared" si="48"/>
        <v>0</v>
      </c>
      <c r="F2651" s="66"/>
      <c r="G2651" s="56"/>
      <c r="H2651" s="74"/>
      <c r="I2651" s="56"/>
      <c r="J2651" s="74"/>
      <c r="K2651" s="56"/>
      <c r="L2651" s="74"/>
      <c r="M2651" s="56"/>
    </row>
    <row r="2652" spans="1:13" ht="12.75">
      <c r="A2652" s="41" t="s">
        <v>17</v>
      </c>
      <c r="B2652" s="46"/>
      <c r="C2652" s="7"/>
      <c r="D2652" s="7"/>
      <c r="E2652" s="7">
        <f t="shared" si="48"/>
        <v>108520.7492037</v>
      </c>
      <c r="F2652" s="7"/>
      <c r="G2652" s="7">
        <f>6.73321*C2628</f>
        <v>25543.778776999996</v>
      </c>
      <c r="H2652" s="2"/>
      <c r="I2652" s="7">
        <f>7.02207*C2628</f>
        <v>26639.626959</v>
      </c>
      <c r="J2652" s="2"/>
      <c r="K2652" s="7">
        <f>7.2754*K2628</f>
        <v>28235.754646</v>
      </c>
      <c r="L2652" s="2"/>
      <c r="M2652" s="7">
        <f>7.24083*K2628</f>
        <v>28101.5888217</v>
      </c>
    </row>
    <row r="2653" spans="1:13" ht="12.75">
      <c r="A2653" s="41" t="s">
        <v>34</v>
      </c>
      <c r="B2653" s="46"/>
      <c r="C2653" s="71"/>
      <c r="D2653" s="7"/>
      <c r="E2653" s="7">
        <f t="shared" si="48"/>
        <v>0</v>
      </c>
      <c r="F2653" s="7"/>
      <c r="G2653" s="7"/>
      <c r="H2653" s="2"/>
      <c r="I2653" s="7"/>
      <c r="J2653" s="2"/>
      <c r="K2653" s="7"/>
      <c r="L2653" s="2"/>
      <c r="M2653" s="7"/>
    </row>
    <row r="2654" spans="1:13" ht="12.75">
      <c r="A2654" s="41" t="s">
        <v>67</v>
      </c>
      <c r="B2654" s="46"/>
      <c r="C2654" s="7"/>
      <c r="D2654" s="7"/>
      <c r="E2654" s="7">
        <f t="shared" si="48"/>
        <v>1718</v>
      </c>
      <c r="F2654" s="7"/>
      <c r="G2654" s="7"/>
      <c r="H2654" s="2"/>
      <c r="I2654" s="7">
        <v>1160</v>
      </c>
      <c r="J2654" s="2"/>
      <c r="K2654" s="7"/>
      <c r="L2654" s="2"/>
      <c r="M2654" s="7">
        <v>558</v>
      </c>
    </row>
    <row r="2655" spans="1:13" ht="12.75">
      <c r="A2655" s="41" t="s">
        <v>68</v>
      </c>
      <c r="B2655" s="46"/>
      <c r="C2655" s="7"/>
      <c r="D2655" s="7"/>
      <c r="E2655" s="7">
        <f t="shared" si="48"/>
        <v>0</v>
      </c>
      <c r="F2655" s="7"/>
      <c r="G2655" s="7"/>
      <c r="H2655" s="2"/>
      <c r="I2655" s="7"/>
      <c r="J2655" s="2"/>
      <c r="K2655" s="7"/>
      <c r="L2655" s="2"/>
      <c r="M2655" s="7"/>
    </row>
    <row r="2656" spans="1:13" ht="12.75">
      <c r="A2656" s="41" t="s">
        <v>69</v>
      </c>
      <c r="B2656" s="46"/>
      <c r="C2656" s="7"/>
      <c r="D2656" s="7"/>
      <c r="E2656" s="7">
        <f t="shared" si="48"/>
        <v>0</v>
      </c>
      <c r="F2656" s="7"/>
      <c r="G2656" s="7"/>
      <c r="H2656" s="2"/>
      <c r="I2656" s="7"/>
      <c r="J2656" s="2"/>
      <c r="K2656" s="7"/>
      <c r="L2656" s="2"/>
      <c r="M2656" s="7"/>
    </row>
    <row r="2657" spans="1:13" ht="12.75">
      <c r="A2657" s="41" t="s">
        <v>26</v>
      </c>
      <c r="B2657" s="46"/>
      <c r="C2657" s="7"/>
      <c r="D2657" s="7"/>
      <c r="E2657" s="7">
        <f t="shared" si="48"/>
        <v>2000</v>
      </c>
      <c r="F2657" s="7"/>
      <c r="G2657" s="7"/>
      <c r="H2657" s="2"/>
      <c r="I2657" s="7">
        <v>1765</v>
      </c>
      <c r="J2657" s="2"/>
      <c r="K2657" s="7"/>
      <c r="L2657" s="2"/>
      <c r="M2657" s="7">
        <v>235</v>
      </c>
    </row>
    <row r="2658" spans="1:13" ht="12.75">
      <c r="A2658" s="41" t="s">
        <v>28</v>
      </c>
      <c r="B2658" s="46"/>
      <c r="C2658" s="7"/>
      <c r="D2658" s="7"/>
      <c r="E2658" s="7">
        <f t="shared" si="48"/>
        <v>140</v>
      </c>
      <c r="F2658" s="7"/>
      <c r="G2658" s="7"/>
      <c r="H2658" s="2"/>
      <c r="I2658" s="7"/>
      <c r="J2658" s="2"/>
      <c r="K2658" s="7"/>
      <c r="L2658" s="2"/>
      <c r="M2658" s="7">
        <v>140</v>
      </c>
    </row>
    <row r="2659" spans="1:13" ht="12.75">
      <c r="A2659" s="41" t="s">
        <v>60</v>
      </c>
      <c r="B2659" s="46"/>
      <c r="C2659" s="7"/>
      <c r="D2659" s="7"/>
      <c r="E2659" s="7">
        <f t="shared" si="48"/>
        <v>0</v>
      </c>
      <c r="F2659" s="7"/>
      <c r="G2659" s="7"/>
      <c r="H2659" s="2"/>
      <c r="I2659" s="7"/>
      <c r="J2659" s="2"/>
      <c r="K2659" s="7"/>
      <c r="L2659" s="2"/>
      <c r="M2659" s="7"/>
    </row>
    <row r="2660" spans="1:13" ht="12.75">
      <c r="A2660" s="41" t="s">
        <v>269</v>
      </c>
      <c r="B2660" s="46"/>
      <c r="C2660" s="7"/>
      <c r="D2660" s="7"/>
      <c r="E2660" s="7">
        <f t="shared" si="48"/>
        <v>5552.5</v>
      </c>
      <c r="F2660" s="7"/>
      <c r="G2660" s="7"/>
      <c r="H2660" s="2"/>
      <c r="I2660" s="7">
        <v>5552.5</v>
      </c>
      <c r="J2660" s="2"/>
      <c r="K2660" s="7"/>
      <c r="L2660" s="2"/>
      <c r="M2660" s="7"/>
    </row>
    <row r="2661" spans="1:13" ht="12.75">
      <c r="A2661" s="41" t="s">
        <v>62</v>
      </c>
      <c r="B2661" s="46"/>
      <c r="C2661" s="7"/>
      <c r="D2661" s="7"/>
      <c r="E2661" s="7">
        <f t="shared" si="48"/>
        <v>0</v>
      </c>
      <c r="F2661" s="7"/>
      <c r="G2661" s="7"/>
      <c r="H2661" s="2"/>
      <c r="I2661" s="7"/>
      <c r="J2661" s="2"/>
      <c r="K2661" s="7"/>
      <c r="L2661" s="2"/>
      <c r="M2661" s="7"/>
    </row>
    <row r="2662" spans="1:13" ht="12.75">
      <c r="A2662" s="41" t="s">
        <v>63</v>
      </c>
      <c r="B2662" s="46"/>
      <c r="C2662" s="7"/>
      <c r="D2662" s="7"/>
      <c r="E2662" s="7">
        <f t="shared" si="48"/>
        <v>0</v>
      </c>
      <c r="F2662" s="7"/>
      <c r="G2662" s="7"/>
      <c r="H2662" s="2"/>
      <c r="I2662" s="7"/>
      <c r="J2662" s="2"/>
      <c r="K2662" s="7"/>
      <c r="L2662" s="2"/>
      <c r="M2662" s="7"/>
    </row>
    <row r="2663" spans="1:13" ht="12.75">
      <c r="A2663" s="41" t="s">
        <v>380</v>
      </c>
      <c r="B2663" s="46"/>
      <c r="C2663" s="7"/>
      <c r="D2663" s="7"/>
      <c r="E2663" s="7">
        <f t="shared" si="48"/>
        <v>110</v>
      </c>
      <c r="F2663" s="7"/>
      <c r="G2663" s="7"/>
      <c r="H2663" s="2"/>
      <c r="I2663" s="7"/>
      <c r="J2663" s="2"/>
      <c r="K2663" s="7"/>
      <c r="L2663" s="2"/>
      <c r="M2663" s="7">
        <v>110</v>
      </c>
    </row>
    <row r="2664" spans="1:13" ht="12.75">
      <c r="A2664" s="41" t="s">
        <v>51</v>
      </c>
      <c r="B2664" s="46"/>
      <c r="C2664" s="7"/>
      <c r="D2664" s="7"/>
      <c r="E2664" s="7">
        <f t="shared" si="48"/>
        <v>3366.93</v>
      </c>
      <c r="F2664" s="7"/>
      <c r="G2664" s="7"/>
      <c r="H2664" s="2"/>
      <c r="I2664" s="7">
        <v>3366.93</v>
      </c>
      <c r="J2664" s="2"/>
      <c r="K2664" s="7"/>
      <c r="L2664" s="2"/>
      <c r="M2664" s="7"/>
    </row>
    <row r="2665" spans="1:13" ht="12.75">
      <c r="A2665" s="58" t="s">
        <v>52</v>
      </c>
      <c r="B2665" s="46"/>
      <c r="C2665" s="7"/>
      <c r="D2665" s="7"/>
      <c r="E2665" s="7">
        <f t="shared" si="48"/>
        <v>0</v>
      </c>
      <c r="F2665" s="7"/>
      <c r="G2665" s="7"/>
      <c r="H2665" s="2"/>
      <c r="I2665" s="7"/>
      <c r="J2665" s="2"/>
      <c r="K2665" s="7"/>
      <c r="L2665" s="2"/>
      <c r="M2665" s="7"/>
    </row>
    <row r="2666" spans="1:13" ht="12.75">
      <c r="A2666" s="41" t="s">
        <v>80</v>
      </c>
      <c r="B2666" s="46"/>
      <c r="C2666" s="7"/>
      <c r="D2666" s="7"/>
      <c r="E2666" s="7">
        <f t="shared" si="48"/>
        <v>0</v>
      </c>
      <c r="F2666" s="7"/>
      <c r="G2666" s="7"/>
      <c r="H2666" s="2"/>
      <c r="I2666" s="7"/>
      <c r="J2666" s="2"/>
      <c r="K2666" s="7"/>
      <c r="L2666" s="2"/>
      <c r="M2666" s="7"/>
    </row>
    <row r="2667" spans="1:13" ht="12.75">
      <c r="A2667" s="41" t="s">
        <v>65</v>
      </c>
      <c r="B2667" s="46"/>
      <c r="C2667" s="7"/>
      <c r="D2667" s="7"/>
      <c r="E2667" s="7">
        <f t="shared" si="48"/>
        <v>0</v>
      </c>
      <c r="F2667" s="7"/>
      <c r="G2667" s="7"/>
      <c r="H2667" s="2"/>
      <c r="I2667" s="7"/>
      <c r="J2667" s="2"/>
      <c r="K2667" s="7"/>
      <c r="L2667" s="2"/>
      <c r="M2667" s="7"/>
    </row>
    <row r="2668" spans="1:13" ht="12.75">
      <c r="A2668" s="41" t="s">
        <v>57</v>
      </c>
      <c r="B2668" s="46"/>
      <c r="C2668" s="7"/>
      <c r="D2668" s="7"/>
      <c r="E2668" s="7">
        <f t="shared" si="48"/>
        <v>7226.93527</v>
      </c>
      <c r="F2668" s="7" t="s">
        <v>165</v>
      </c>
      <c r="G2668" s="7">
        <v>7200</v>
      </c>
      <c r="H2668" s="2"/>
      <c r="I2668" s="7">
        <f>0.0071*C2628</f>
        <v>26.93527</v>
      </c>
      <c r="J2668" s="2"/>
      <c r="K2668" s="7"/>
      <c r="L2668" s="2"/>
      <c r="M2668" s="7"/>
    </row>
    <row r="2669" spans="1:13" ht="12.75">
      <c r="A2669" s="41" t="s">
        <v>33</v>
      </c>
      <c r="B2669" s="46"/>
      <c r="C2669" s="7"/>
      <c r="D2669" s="7"/>
      <c r="E2669" s="7">
        <f t="shared" si="48"/>
        <v>1237</v>
      </c>
      <c r="F2669" s="15"/>
      <c r="G2669" s="7"/>
      <c r="H2669" s="2"/>
      <c r="I2669" s="7"/>
      <c r="J2669" s="2"/>
      <c r="K2669" s="7"/>
      <c r="L2669" s="2"/>
      <c r="M2669" s="7">
        <v>1237</v>
      </c>
    </row>
    <row r="2670" spans="1:13" ht="12.75">
      <c r="A2670" s="41" t="s">
        <v>50</v>
      </c>
      <c r="B2670" s="46"/>
      <c r="C2670" s="7"/>
      <c r="D2670" s="7"/>
      <c r="E2670" s="7">
        <f t="shared" si="48"/>
        <v>4183.042083</v>
      </c>
      <c r="F2670" s="7"/>
      <c r="G2670" s="7">
        <f>0.2455*C2628</f>
        <v>931.35335</v>
      </c>
      <c r="H2670" s="2"/>
      <c r="I2670" s="7">
        <f>0.5802*C2628</f>
        <v>2201.10474</v>
      </c>
      <c r="J2670" s="2"/>
      <c r="K2670" s="7">
        <f>0.1437*K2628</f>
        <v>557.698263</v>
      </c>
      <c r="L2670" s="2"/>
      <c r="M2670" s="7">
        <f>0.127*K2628</f>
        <v>492.88572999999997</v>
      </c>
    </row>
    <row r="2671" spans="1:13" ht="13.5" thickBot="1">
      <c r="A2671" s="48" t="s">
        <v>54</v>
      </c>
      <c r="B2671" s="49"/>
      <c r="C2671" s="50"/>
      <c r="D2671" s="50"/>
      <c r="E2671" s="50">
        <f t="shared" si="48"/>
        <v>118.85362999999998</v>
      </c>
      <c r="F2671" s="50"/>
      <c r="G2671" s="50"/>
      <c r="H2671" s="22"/>
      <c r="I2671" s="50">
        <f>0.0078*C2628</f>
        <v>29.590859999999996</v>
      </c>
      <c r="J2671" s="22"/>
      <c r="K2671" s="50">
        <f>0.011*K2628</f>
        <v>42.690889999999996</v>
      </c>
      <c r="L2671" s="22"/>
      <c r="M2671" s="50">
        <f>0.012*K2628</f>
        <v>46.57188</v>
      </c>
    </row>
    <row r="2672" spans="1:13" ht="13.5" thickBot="1">
      <c r="A2672" s="59" t="s">
        <v>10</v>
      </c>
      <c r="B2672" s="81"/>
      <c r="C2672" s="63"/>
      <c r="D2672" s="63"/>
      <c r="E2672" s="63">
        <f t="shared" si="48"/>
        <v>134174.01018669998</v>
      </c>
      <c r="F2672" s="63"/>
      <c r="G2672" s="63">
        <f>SUM(G2652:G2671)</f>
        <v>33675.132127</v>
      </c>
      <c r="H2672" s="26"/>
      <c r="I2672" s="63">
        <f>SUM(I2652:I2671)</f>
        <v>40741.687829</v>
      </c>
      <c r="J2672" s="26"/>
      <c r="K2672" s="63">
        <f>SUM(K2652:K2671)</f>
        <v>28836.143799</v>
      </c>
      <c r="L2672" s="26"/>
      <c r="M2672" s="29">
        <f>SUM(M2652:M2671)</f>
        <v>30921.046431699997</v>
      </c>
    </row>
    <row r="2673" spans="1:13" ht="13.5" thickBot="1">
      <c r="A2673" s="59" t="s">
        <v>42</v>
      </c>
      <c r="B2673" s="52"/>
      <c r="C2673" s="53"/>
      <c r="D2673" s="53"/>
      <c r="E2673" s="63">
        <f t="shared" si="48"/>
        <v>0</v>
      </c>
      <c r="F2673" s="53"/>
      <c r="G2673" s="63"/>
      <c r="H2673" s="26"/>
      <c r="I2673" s="63"/>
      <c r="J2673" s="26"/>
      <c r="K2673" s="63"/>
      <c r="L2673" s="26"/>
      <c r="M2673" s="29"/>
    </row>
    <row r="2674" spans="1:13" ht="12.75">
      <c r="A2674" s="138" t="s">
        <v>437</v>
      </c>
      <c r="B2674" s="139"/>
      <c r="C2674" s="140"/>
      <c r="D2674" s="140"/>
      <c r="E2674" s="7">
        <f t="shared" si="48"/>
        <v>267.2</v>
      </c>
      <c r="F2674" s="140"/>
      <c r="G2674" s="116"/>
      <c r="H2674" s="129"/>
      <c r="I2674" s="116"/>
      <c r="J2674" s="129"/>
      <c r="K2674" s="116"/>
      <c r="L2674" s="129"/>
      <c r="M2674" s="127">
        <v>267.2</v>
      </c>
    </row>
    <row r="2675" spans="1:13" ht="12.75">
      <c r="A2675" s="95" t="s">
        <v>56</v>
      </c>
      <c r="B2675" s="61"/>
      <c r="C2675" s="56"/>
      <c r="D2675" s="56"/>
      <c r="E2675" s="7">
        <f t="shared" si="48"/>
        <v>0</v>
      </c>
      <c r="F2675" s="56"/>
      <c r="G2675" s="56"/>
      <c r="H2675" s="74"/>
      <c r="I2675" s="56"/>
      <c r="J2675" s="74"/>
      <c r="K2675" s="56"/>
      <c r="L2675" s="74"/>
      <c r="M2675" s="56"/>
    </row>
    <row r="2676" spans="1:13" ht="12.75">
      <c r="A2676" s="95" t="s">
        <v>356</v>
      </c>
      <c r="B2676" s="61"/>
      <c r="C2676" s="56"/>
      <c r="D2676" s="56"/>
      <c r="E2676" s="7">
        <f t="shared" si="48"/>
        <v>86</v>
      </c>
      <c r="F2676" s="56"/>
      <c r="G2676" s="56"/>
      <c r="H2676" s="74"/>
      <c r="I2676" s="56"/>
      <c r="J2676" s="74"/>
      <c r="K2676" s="56">
        <v>86</v>
      </c>
      <c r="L2676" s="74"/>
      <c r="M2676" s="56"/>
    </row>
    <row r="2677" spans="1:13" ht="12.75">
      <c r="A2677" s="95" t="s">
        <v>270</v>
      </c>
      <c r="B2677" s="61"/>
      <c r="C2677" s="56"/>
      <c r="D2677" s="56"/>
      <c r="E2677" s="56">
        <f>G2677+I2677+K2677+M2677</f>
        <v>450</v>
      </c>
      <c r="F2677" s="56"/>
      <c r="G2677" s="56"/>
      <c r="H2677" s="74"/>
      <c r="I2677" s="56">
        <v>450</v>
      </c>
      <c r="J2677" s="74"/>
      <c r="K2677" s="56"/>
      <c r="L2677" s="74"/>
      <c r="M2677" s="56"/>
    </row>
    <row r="2678" spans="1:13" ht="13.5" thickBot="1">
      <c r="A2678" s="48" t="s">
        <v>16</v>
      </c>
      <c r="B2678" s="49"/>
      <c r="C2678" s="50"/>
      <c r="D2678" s="50"/>
      <c r="E2678" s="50">
        <f>G2678+I2678+K2678+M2678</f>
        <v>137.774462</v>
      </c>
      <c r="F2678" s="50"/>
      <c r="G2678" s="50">
        <f>0.0089*C2628</f>
        <v>33.763929999999995</v>
      </c>
      <c r="H2678" s="22"/>
      <c r="I2678" s="50"/>
      <c r="J2678" s="22"/>
      <c r="K2678" s="50"/>
      <c r="L2678" s="22"/>
      <c r="M2678" s="50">
        <f>0.0268*K2628</f>
        <v>104.010532</v>
      </c>
    </row>
    <row r="2679" spans="1:13" ht="13.5" thickBot="1">
      <c r="A2679" s="62" t="s">
        <v>10</v>
      </c>
      <c r="B2679" s="81"/>
      <c r="C2679" s="63"/>
      <c r="D2679" s="63"/>
      <c r="E2679" s="63">
        <f>G2679+I2679+K2679+M2679</f>
        <v>940.9744620000001</v>
      </c>
      <c r="F2679" s="63"/>
      <c r="G2679" s="63">
        <f>SUM(G2675:G2678)</f>
        <v>33.763929999999995</v>
      </c>
      <c r="H2679" s="26"/>
      <c r="I2679" s="63">
        <f>SUM(I2677:I2678)</f>
        <v>450</v>
      </c>
      <c r="J2679" s="26"/>
      <c r="K2679" s="63">
        <f>SUM(K2675:K2678)</f>
        <v>86</v>
      </c>
      <c r="L2679" s="26"/>
      <c r="M2679" s="29">
        <f>SUM(M2674:M2678)</f>
        <v>371.210532</v>
      </c>
    </row>
    <row r="2680" spans="1:13" ht="12.75">
      <c r="A2680" s="95" t="s">
        <v>29</v>
      </c>
      <c r="B2680" s="61"/>
      <c r="C2680" s="56"/>
      <c r="D2680" s="56"/>
      <c r="E2680" s="56">
        <f>G2680+I2680+K2680+M2680</f>
        <v>8808.84887</v>
      </c>
      <c r="F2680" s="56"/>
      <c r="G2680" s="56">
        <f>0.4236*C2628</f>
        <v>1607.0113199999998</v>
      </c>
      <c r="H2680" s="74"/>
      <c r="I2680" s="56">
        <f>0.5971*C2628</f>
        <v>2265.21827</v>
      </c>
      <c r="J2680" s="74"/>
      <c r="K2680" s="56"/>
      <c r="L2680" s="74"/>
      <c r="M2680" s="56">
        <f>1.272*K2628</f>
        <v>4936.61928</v>
      </c>
    </row>
    <row r="2681" spans="1:13" ht="21.75">
      <c r="A2681" s="77" t="s">
        <v>83</v>
      </c>
      <c r="B2681" s="46"/>
      <c r="C2681" s="7"/>
      <c r="D2681" s="7"/>
      <c r="E2681" s="7">
        <f>G2681+I2681+K2681+M2681</f>
        <v>412592.5156142</v>
      </c>
      <c r="F2681" s="7"/>
      <c r="G2681" s="7">
        <f>G2650+G2672+G2679+G2680</f>
        <v>100609.607265</v>
      </c>
      <c r="H2681" s="2"/>
      <c r="I2681" s="7">
        <f>I2650+I2672+I2679+I2680</f>
        <v>117480.04492100001</v>
      </c>
      <c r="J2681" s="2"/>
      <c r="K2681" s="7">
        <f>K2650+K2672+K2679+K2680</f>
        <v>93616.9475112</v>
      </c>
      <c r="L2681" s="2"/>
      <c r="M2681" s="7">
        <f>M2650+M2672+M2679+M2680</f>
        <v>100885.91591699999</v>
      </c>
    </row>
    <row r="2682" spans="1:13" ht="33.75">
      <c r="A2682" s="67" t="s">
        <v>84</v>
      </c>
      <c r="B2682" s="46"/>
      <c r="C2682" s="7"/>
      <c r="D2682" s="7"/>
      <c r="E2682" s="8">
        <f>E2681/12/C2628</f>
        <v>9.063107160428254</v>
      </c>
      <c r="F2682" s="7"/>
      <c r="G2682" s="8">
        <f>G2681/3/C2628</f>
        <v>8.840060035058123</v>
      </c>
      <c r="H2682" s="2"/>
      <c r="I2682" s="8">
        <f>I2681/3/C2628</f>
        <v>10.322380518666915</v>
      </c>
      <c r="J2682" s="2"/>
      <c r="K2682" s="8">
        <f>K2681/3/K2628</f>
        <v>8.040641478179536</v>
      </c>
      <c r="L2682" s="2"/>
      <c r="M2682" s="8">
        <f>M2681/3/K2628</f>
        <v>8.664964001195571</v>
      </c>
    </row>
    <row r="2683" spans="1:13" ht="12.75">
      <c r="A2683" s="69" t="s">
        <v>20</v>
      </c>
      <c r="B2683" s="44"/>
      <c r="C2683" s="45"/>
      <c r="D2683" s="45"/>
      <c r="E2683" s="45">
        <f>E2633-E2681</f>
        <v>35771.234385800024</v>
      </c>
      <c r="F2683" s="45"/>
      <c r="G2683" s="7">
        <f>G2633-G2681</f>
        <v>-451.3972650000069</v>
      </c>
      <c r="H2683" s="2"/>
      <c r="I2683" s="7">
        <f>I2633-I2681-451</f>
        <v>-14393.414921000003</v>
      </c>
      <c r="J2683" s="2"/>
      <c r="K2683" s="7">
        <f>K2633-K2681-14393</f>
        <v>19131.77248880001</v>
      </c>
      <c r="L2683" s="2"/>
      <c r="M2683" s="7">
        <f>M2633-M2681+K2683</f>
        <v>35772.04657180002</v>
      </c>
    </row>
    <row r="2684" spans="1:13" ht="12.75">
      <c r="A2684" s="14" t="s">
        <v>24</v>
      </c>
      <c r="B2684" s="14"/>
      <c r="C2684" s="14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</row>
    <row r="2685" spans="1:13" ht="12.75">
      <c r="A2685" s="14" t="s">
        <v>35</v>
      </c>
      <c r="B2685" s="14"/>
      <c r="C2685" s="14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</row>
    <row r="2686" spans="1:13" ht="12.75">
      <c r="A2686" s="14" t="s">
        <v>25</v>
      </c>
      <c r="B2686" s="14"/>
      <c r="C2686" s="14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</row>
    <row r="2687" spans="1:13" ht="12.75">
      <c r="A2687" s="14"/>
      <c r="B2687" s="14"/>
      <c r="C2687" s="14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</row>
    <row r="2688" spans="1:13" ht="12.75">
      <c r="A2688" s="14"/>
      <c r="B2688" s="14"/>
      <c r="C2688" s="14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</row>
    <row r="2689" spans="1:13" ht="12.75">
      <c r="A2689" s="14"/>
      <c r="B2689" s="14"/>
      <c r="C2689" s="14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</row>
    <row r="2690" spans="1:13" ht="12.75">
      <c r="A2690" s="14"/>
      <c r="B2690" s="14"/>
      <c r="C2690" s="14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</row>
    <row r="2691" spans="1:13" ht="12.75">
      <c r="A2691" s="14"/>
      <c r="B2691" s="14"/>
      <c r="C2691" s="14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</row>
    <row r="2692" spans="1:13" ht="12.75">
      <c r="A2692" s="14"/>
      <c r="B2692" s="14"/>
      <c r="C2692" s="14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</row>
    <row r="2693" spans="1:13" ht="12.75">
      <c r="A2693" s="14"/>
      <c r="B2693" s="14"/>
      <c r="C2693" s="14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</row>
    <row r="2694" spans="1:13" ht="12.75">
      <c r="A2694" s="14"/>
      <c r="B2694" s="14"/>
      <c r="C2694" s="14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</row>
    <row r="2695" spans="1:13" ht="12.75">
      <c r="A2695" s="14"/>
      <c r="B2695" s="14"/>
      <c r="C2695" s="14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</row>
    <row r="2696" spans="1:13" ht="12.75">
      <c r="A2696" s="14"/>
      <c r="B2696" s="14"/>
      <c r="C2696" s="14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</row>
    <row r="2697" spans="1:13" ht="12.75">
      <c r="A2697" s="14"/>
      <c r="B2697" s="14"/>
      <c r="C2697" s="14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</row>
    <row r="2698" spans="1:13" ht="12.75">
      <c r="A2698" s="14"/>
      <c r="B2698" s="14"/>
      <c r="C2698" s="14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</row>
    <row r="2699" spans="1:13" ht="12.75">
      <c r="A2699" s="14"/>
      <c r="B2699" s="14"/>
      <c r="C2699" s="14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</row>
    <row r="2700" spans="1:13" ht="12.75">
      <c r="A2700" s="14"/>
      <c r="B2700" s="14"/>
      <c r="C2700" s="14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</row>
    <row r="2701" spans="1:13" ht="12.75">
      <c r="A2701" s="14"/>
      <c r="B2701" s="14"/>
      <c r="C2701" s="14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</row>
    <row r="2702" spans="1:13" ht="12.75">
      <c r="A2702" s="14"/>
      <c r="B2702" s="14"/>
      <c r="C2702" s="14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</row>
    <row r="2703" spans="1:13" ht="12.75">
      <c r="A2703" s="14"/>
      <c r="B2703" s="14"/>
      <c r="C2703" s="14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</row>
    <row r="2704" spans="1:13" ht="12" customHeight="1">
      <c r="A2704" s="14"/>
      <c r="B2704" s="14"/>
      <c r="C2704" s="14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</row>
    <row r="2705" spans="1:13" ht="12.75" hidden="1">
      <c r="A2705" s="14"/>
      <c r="B2705" s="14"/>
      <c r="C2705" s="14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</row>
    <row r="2706" spans="1:13" ht="12.75" hidden="1">
      <c r="A2706" s="14"/>
      <c r="B2706" s="14"/>
      <c r="C2706" s="14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</row>
    <row r="2707" spans="1:13" ht="12.75" hidden="1">
      <c r="A2707" s="14"/>
      <c r="B2707" s="14"/>
      <c r="C2707" s="14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</row>
    <row r="2708" spans="1:13" ht="12.75" hidden="1">
      <c r="A2708" s="14"/>
      <c r="B2708" s="14"/>
      <c r="C2708" s="14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</row>
    <row r="2709" spans="1:13" ht="12.75" hidden="1">
      <c r="A2709" s="14"/>
      <c r="B2709" s="14"/>
      <c r="C2709" s="14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</row>
    <row r="2710" spans="1:13" ht="12.75">
      <c r="A2710" s="31" t="s">
        <v>21</v>
      </c>
      <c r="B2710" s="31"/>
      <c r="C2710" s="14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</row>
    <row r="2711" spans="1:13" ht="12.75">
      <c r="A2711" s="14" t="s">
        <v>31</v>
      </c>
      <c r="B2711" s="14"/>
      <c r="C2711" s="14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</row>
    <row r="2712" spans="1:13" ht="12.75">
      <c r="A2712" s="14" t="s">
        <v>41</v>
      </c>
      <c r="B2712" s="14"/>
      <c r="C2712" s="14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</row>
    <row r="2713" spans="1:13" ht="12.75">
      <c r="A2713" s="14" t="s">
        <v>129</v>
      </c>
      <c r="B2713" s="14"/>
      <c r="C2713" s="14"/>
      <c r="D2713" s="14"/>
      <c r="E2713" s="14" t="s">
        <v>32</v>
      </c>
      <c r="F2713" s="14"/>
      <c r="G2713" s="14"/>
      <c r="H2713" s="14"/>
      <c r="I2713" s="14"/>
      <c r="J2713" s="14"/>
      <c r="K2713" s="14"/>
      <c r="L2713" s="14"/>
      <c r="M2713" s="14"/>
    </row>
    <row r="2714" spans="1:13" ht="12.75" customHeight="1">
      <c r="A2714" s="6" t="s">
        <v>0</v>
      </c>
      <c r="B2714" s="151" t="s">
        <v>38</v>
      </c>
      <c r="C2714" s="152"/>
      <c r="D2714" s="149" t="s">
        <v>39</v>
      </c>
      <c r="E2714" s="150"/>
      <c r="F2714" s="149" t="s">
        <v>96</v>
      </c>
      <c r="G2714" s="150"/>
      <c r="H2714" s="149" t="s">
        <v>97</v>
      </c>
      <c r="I2714" s="150"/>
      <c r="J2714" s="149" t="s">
        <v>98</v>
      </c>
      <c r="K2714" s="150"/>
      <c r="L2714" s="149" t="s">
        <v>99</v>
      </c>
      <c r="M2714" s="150"/>
    </row>
    <row r="2715" spans="1:13" ht="12.75">
      <c r="A2715" s="11" t="s">
        <v>5</v>
      </c>
      <c r="B2715" s="153"/>
      <c r="C2715" s="154"/>
      <c r="D2715" s="6" t="s">
        <v>40</v>
      </c>
      <c r="E2715" s="6" t="s">
        <v>22</v>
      </c>
      <c r="F2715" s="6" t="s">
        <v>40</v>
      </c>
      <c r="G2715" s="13" t="s">
        <v>22</v>
      </c>
      <c r="H2715" s="2"/>
      <c r="I2715" s="2"/>
      <c r="J2715" s="2"/>
      <c r="K2715" s="2"/>
      <c r="L2715" s="2"/>
      <c r="M2715" s="2"/>
    </row>
    <row r="2716" spans="1:13" ht="12.75">
      <c r="A2716" s="2" t="s">
        <v>1</v>
      </c>
      <c r="B2716" s="2"/>
      <c r="C2716" s="6">
        <v>5</v>
      </c>
      <c r="D2716" s="2"/>
      <c r="E2716" s="2"/>
      <c r="F2716" s="2"/>
      <c r="G2716" s="2"/>
      <c r="H2716" s="2"/>
      <c r="I2716" s="2"/>
      <c r="J2716" s="2"/>
      <c r="K2716" s="2"/>
      <c r="L2716" s="2"/>
      <c r="M2716" s="2"/>
    </row>
    <row r="2717" spans="1:13" ht="12.75">
      <c r="A2717" s="2" t="s">
        <v>2</v>
      </c>
      <c r="B2717" s="2"/>
      <c r="C2717" s="6">
        <v>4</v>
      </c>
      <c r="D2717" s="2"/>
      <c r="E2717" s="2"/>
      <c r="F2717" s="2"/>
      <c r="G2717" s="2"/>
      <c r="H2717" s="2"/>
      <c r="I2717" s="2"/>
      <c r="J2717" s="2"/>
      <c r="K2717" s="2"/>
      <c r="L2717" s="2"/>
      <c r="M2717" s="2"/>
    </row>
    <row r="2718" spans="1:13" ht="12.75">
      <c r="A2718" s="2" t="s">
        <v>3</v>
      </c>
      <c r="B2718" s="2"/>
      <c r="C2718" s="6">
        <v>80</v>
      </c>
      <c r="D2718" s="2"/>
      <c r="E2718" s="2"/>
      <c r="F2718" s="2"/>
      <c r="G2718" s="2"/>
      <c r="H2718" s="2"/>
      <c r="I2718" s="2"/>
      <c r="J2718" s="2"/>
      <c r="K2718" s="2"/>
      <c r="L2718" s="2"/>
      <c r="M2718" s="2"/>
    </row>
    <row r="2719" spans="1:13" ht="12.75">
      <c r="A2719" s="2" t="s">
        <v>4</v>
      </c>
      <c r="B2719" s="6"/>
      <c r="C2719" s="6">
        <v>3804.44</v>
      </c>
      <c r="D2719" s="6"/>
      <c r="E2719" s="6"/>
      <c r="F2719" s="6"/>
      <c r="G2719" s="2"/>
      <c r="H2719" s="2"/>
      <c r="I2719" s="2"/>
      <c r="J2719" s="2"/>
      <c r="K2719" s="2">
        <v>3827.06</v>
      </c>
      <c r="L2719" s="2"/>
      <c r="M2719" s="2"/>
    </row>
    <row r="2720" spans="1:13" ht="21.75">
      <c r="A2720" s="35" t="s">
        <v>6</v>
      </c>
      <c r="B2720" s="11" t="s">
        <v>40</v>
      </c>
      <c r="C2720" s="2" t="s">
        <v>22</v>
      </c>
      <c r="D2720" s="2"/>
      <c r="E2720" s="2"/>
      <c r="F2720" s="2"/>
      <c r="G2720" s="2"/>
      <c r="H2720" s="2"/>
      <c r="I2720" s="2"/>
      <c r="J2720" s="2"/>
      <c r="K2720" s="2"/>
      <c r="L2720" s="2"/>
      <c r="M2720" s="2"/>
    </row>
    <row r="2721" spans="1:13" ht="22.5">
      <c r="A2721" s="40" t="s">
        <v>7</v>
      </c>
      <c r="B2721" s="3"/>
      <c r="C2721" s="6"/>
      <c r="D2721" s="6"/>
      <c r="E2721" s="8">
        <f>G2721+I2721+K2721+M2721</f>
        <v>385549.79000000004</v>
      </c>
      <c r="F2721" s="2"/>
      <c r="G2721" s="6">
        <v>95830.6</v>
      </c>
      <c r="H2721" s="2"/>
      <c r="I2721" s="2">
        <v>91022.47</v>
      </c>
      <c r="J2721" s="2"/>
      <c r="K2721" s="2">
        <v>107738.37</v>
      </c>
      <c r="L2721" s="2"/>
      <c r="M2721" s="2">
        <v>90958.35</v>
      </c>
    </row>
    <row r="2722" spans="1:13" ht="12.75">
      <c r="A2722" s="41" t="s">
        <v>8</v>
      </c>
      <c r="B2722" s="3"/>
      <c r="C2722" s="6"/>
      <c r="D2722" s="6"/>
      <c r="E2722" s="6"/>
      <c r="F2722" s="2"/>
      <c r="G2722" s="6"/>
      <c r="H2722" s="2"/>
      <c r="I2722" s="2"/>
      <c r="J2722" s="2"/>
      <c r="K2722" s="2"/>
      <c r="L2722" s="2"/>
      <c r="M2722" s="2"/>
    </row>
    <row r="2723" spans="1:13" ht="12.75">
      <c r="A2723" s="41" t="s">
        <v>9</v>
      </c>
      <c r="B2723" s="3"/>
      <c r="C2723" s="6"/>
      <c r="D2723" s="6"/>
      <c r="E2723" s="6"/>
      <c r="F2723" s="2"/>
      <c r="G2723" s="6"/>
      <c r="H2723" s="2"/>
      <c r="I2723" s="2"/>
      <c r="J2723" s="2"/>
      <c r="K2723" s="2"/>
      <c r="L2723" s="2"/>
      <c r="M2723" s="2"/>
    </row>
    <row r="2724" spans="1:13" ht="12.75">
      <c r="A2724" s="2" t="s">
        <v>10</v>
      </c>
      <c r="B2724" s="42"/>
      <c r="C2724" s="11"/>
      <c r="D2724" s="11"/>
      <c r="E2724" s="38">
        <f>SUM(E2721:E2723)</f>
        <v>385549.79000000004</v>
      </c>
      <c r="F2724" s="37"/>
      <c r="G2724" s="11">
        <f>SUM(G2721:G2723)</f>
        <v>95830.6</v>
      </c>
      <c r="H2724" s="2"/>
      <c r="I2724" s="2">
        <f>SUM(I2721:I2723)</f>
        <v>91022.47</v>
      </c>
      <c r="J2724" s="2"/>
      <c r="K2724" s="2">
        <f>SUM(K2721:K2723)</f>
        <v>107738.37</v>
      </c>
      <c r="L2724" s="2"/>
      <c r="M2724" s="2">
        <f>SUM(M2721:M2723)</f>
        <v>90958.35</v>
      </c>
    </row>
    <row r="2725" spans="1:13" ht="21.75">
      <c r="A2725" s="35" t="s">
        <v>82</v>
      </c>
      <c r="B2725" s="4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</row>
    <row r="2726" spans="1:13" ht="12.75">
      <c r="A2726" s="43" t="s">
        <v>11</v>
      </c>
      <c r="B2726" s="44"/>
      <c r="C2726" s="45"/>
      <c r="D2726" s="45"/>
      <c r="E2726" s="45">
        <f>G2726+I2726+K2726+M2726</f>
        <v>124441.62071920001</v>
      </c>
      <c r="F2726" s="45"/>
      <c r="G2726" s="45">
        <f>7.99407*C2719</f>
        <v>30412.9596708</v>
      </c>
      <c r="H2726" s="2"/>
      <c r="I2726" s="7">
        <f>9.57707*C2719</f>
        <v>36435.388190800004</v>
      </c>
      <c r="J2726" s="2"/>
      <c r="K2726" s="7">
        <f>7.32829*K2719</f>
        <v>28045.8055274</v>
      </c>
      <c r="L2726" s="2"/>
      <c r="M2726" s="7">
        <f>7.72067*K2719</f>
        <v>29547.4673302</v>
      </c>
    </row>
    <row r="2727" spans="1:13" ht="12.75">
      <c r="A2727" s="43" t="s">
        <v>12</v>
      </c>
      <c r="B2727" s="46"/>
      <c r="C2727" s="7"/>
      <c r="D2727" s="7"/>
      <c r="E2727" s="7">
        <f aca="true" t="shared" si="49" ref="E2727:E2774">G2727+I2727+K2727+M2727</f>
        <v>0</v>
      </c>
      <c r="F2727" s="7"/>
      <c r="G2727" s="7"/>
      <c r="H2727" s="2"/>
      <c r="I2727" s="7"/>
      <c r="J2727" s="2"/>
      <c r="K2727" s="7"/>
      <c r="L2727" s="2"/>
      <c r="M2727" s="7"/>
    </row>
    <row r="2728" spans="1:13" ht="12.75">
      <c r="A2728" s="41" t="s">
        <v>13</v>
      </c>
      <c r="B2728" s="46"/>
      <c r="C2728" s="7"/>
      <c r="D2728" s="7"/>
      <c r="E2728" s="45">
        <f t="shared" si="49"/>
        <v>151011.18842579998</v>
      </c>
      <c r="F2728" s="45"/>
      <c r="G2728" s="45">
        <f>G2729+G2731+G2732+G2733+G2735+G2736+G2737+G2738+G2739+G2740+G2741</f>
        <v>36735.3886748</v>
      </c>
      <c r="H2728" s="2"/>
      <c r="I2728" s="7">
        <f>I2729+I2731+I2732+I2733+I2735+I2736+I2737+I2738+I2739+I2740+I2741</f>
        <v>41442.7740716</v>
      </c>
      <c r="J2728" s="2"/>
      <c r="K2728" s="7">
        <f>K2729+K2731+K2732+K2733+K2734+K2735+K2736+K2737+K2738+K2739+K2740+K2741</f>
        <v>38956.728339400004</v>
      </c>
      <c r="L2728" s="2"/>
      <c r="M2728" s="7">
        <f>M2729+M2731+M2732+M2733+M2734+M2735+M2736+M2737+M2738+M2739+M2740+M2741</f>
        <v>33876.29734</v>
      </c>
    </row>
    <row r="2729" spans="1:13" ht="12.75">
      <c r="A2729" s="47" t="s">
        <v>14</v>
      </c>
      <c r="B2729" s="46"/>
      <c r="C2729" s="71"/>
      <c r="D2729" s="7"/>
      <c r="E2729" s="7">
        <f t="shared" si="49"/>
        <v>132786</v>
      </c>
      <c r="F2729" s="7"/>
      <c r="G2729" s="7">
        <v>34304</v>
      </c>
      <c r="H2729" s="2"/>
      <c r="I2729" s="7">
        <v>33178</v>
      </c>
      <c r="J2729" s="2"/>
      <c r="K2729" s="7">
        <v>34922</v>
      </c>
      <c r="L2729" s="2"/>
      <c r="M2729" s="7">
        <v>30382</v>
      </c>
    </row>
    <row r="2730" spans="1:13" ht="12.75">
      <c r="A2730" s="41" t="s">
        <v>19</v>
      </c>
      <c r="B2730" s="46"/>
      <c r="C2730" s="71"/>
      <c r="D2730" s="7"/>
      <c r="E2730" s="7">
        <f t="shared" si="49"/>
        <v>86434</v>
      </c>
      <c r="F2730" s="7"/>
      <c r="G2730" s="7">
        <v>21619</v>
      </c>
      <c r="H2730" s="2"/>
      <c r="I2730" s="7">
        <v>21619</v>
      </c>
      <c r="J2730" s="2"/>
      <c r="K2730" s="7">
        <v>21598</v>
      </c>
      <c r="L2730" s="2"/>
      <c r="M2730" s="7">
        <v>21598</v>
      </c>
    </row>
    <row r="2731" spans="1:13" ht="12.75">
      <c r="A2731" s="41" t="s">
        <v>18</v>
      </c>
      <c r="B2731" s="46"/>
      <c r="C2731" s="7"/>
      <c r="D2731" s="7"/>
      <c r="E2731" s="7">
        <f t="shared" si="49"/>
        <v>1414.4099999999999</v>
      </c>
      <c r="F2731" s="7"/>
      <c r="G2731" s="7">
        <v>221.82</v>
      </c>
      <c r="H2731" s="2"/>
      <c r="I2731" s="7">
        <v>312</v>
      </c>
      <c r="J2731" s="2"/>
      <c r="K2731" s="7">
        <v>422.73</v>
      </c>
      <c r="L2731" s="2"/>
      <c r="M2731" s="7">
        <v>457.86</v>
      </c>
    </row>
    <row r="2732" spans="1:13" ht="12.75">
      <c r="A2732" s="41" t="s">
        <v>53</v>
      </c>
      <c r="B2732" s="46"/>
      <c r="C2732" s="7"/>
      <c r="D2732" s="7"/>
      <c r="E2732" s="7">
        <f t="shared" si="49"/>
        <v>7339.0464558</v>
      </c>
      <c r="F2732" s="7"/>
      <c r="G2732" s="7">
        <f>0.54857*C2719</f>
        <v>2087.0016508</v>
      </c>
      <c r="H2732" s="2"/>
      <c r="I2732" s="7">
        <f>0.53049*C2719</f>
        <v>2018.2173756000002</v>
      </c>
      <c r="J2732" s="2"/>
      <c r="K2732" s="7">
        <f>0.60599*K2719</f>
        <v>2319.1600894000003</v>
      </c>
      <c r="L2732" s="2"/>
      <c r="M2732" s="7">
        <f>0.239*K2719</f>
        <v>914.66734</v>
      </c>
    </row>
    <row r="2733" spans="1:13" ht="12.75">
      <c r="A2733" s="41" t="s">
        <v>148</v>
      </c>
      <c r="B2733" s="46"/>
      <c r="C2733" s="7"/>
      <c r="D2733" s="7"/>
      <c r="E2733" s="7">
        <f t="shared" si="49"/>
        <v>673</v>
      </c>
      <c r="F2733" s="7"/>
      <c r="G2733" s="7">
        <v>48</v>
      </c>
      <c r="H2733" s="2"/>
      <c r="I2733" s="7">
        <v>225</v>
      </c>
      <c r="J2733" s="2"/>
      <c r="K2733" s="7">
        <v>400</v>
      </c>
      <c r="L2733" s="2"/>
      <c r="M2733" s="7"/>
    </row>
    <row r="2734" spans="1:13" ht="12.75">
      <c r="A2734" s="41" t="s">
        <v>357</v>
      </c>
      <c r="B2734" s="46"/>
      <c r="C2734" s="7"/>
      <c r="D2734" s="7"/>
      <c r="E2734" s="7"/>
      <c r="F2734" s="7"/>
      <c r="G2734" s="7"/>
      <c r="H2734" s="2"/>
      <c r="I2734" s="7"/>
      <c r="J2734" s="2"/>
      <c r="K2734" s="7">
        <v>845</v>
      </c>
      <c r="L2734" s="2"/>
      <c r="M2734" s="7"/>
    </row>
    <row r="2735" spans="1:13" ht="12.75">
      <c r="A2735" s="41" t="s">
        <v>27</v>
      </c>
      <c r="B2735" s="46"/>
      <c r="C2735" s="7"/>
      <c r="D2735" s="7"/>
      <c r="E2735" s="7">
        <f t="shared" si="49"/>
        <v>284.95255599999996</v>
      </c>
      <c r="F2735" s="7"/>
      <c r="G2735" s="7"/>
      <c r="H2735" s="2"/>
      <c r="I2735" s="7">
        <f>0.0749*C2719</f>
        <v>284.95255599999996</v>
      </c>
      <c r="J2735" s="2"/>
      <c r="K2735" s="7"/>
      <c r="L2735" s="2"/>
      <c r="M2735" s="7"/>
    </row>
    <row r="2736" spans="1:13" ht="12.75">
      <c r="A2736" s="41" t="s">
        <v>36</v>
      </c>
      <c r="B2736" s="46"/>
      <c r="C2736" s="7"/>
      <c r="D2736" s="7"/>
      <c r="E2736" s="7">
        <f t="shared" si="49"/>
        <v>5400.77</v>
      </c>
      <c r="F2736" s="7"/>
      <c r="G2736" s="7"/>
      <c r="H2736" s="2" t="s">
        <v>272</v>
      </c>
      <c r="I2736" s="7">
        <v>3279</v>
      </c>
      <c r="J2736" s="2"/>
      <c r="K2736" s="7"/>
      <c r="L2736" s="2" t="s">
        <v>439</v>
      </c>
      <c r="M2736" s="7">
        <v>2121.77</v>
      </c>
    </row>
    <row r="2737" spans="1:13" ht="12.75">
      <c r="A2737" s="41" t="s">
        <v>58</v>
      </c>
      <c r="B2737" s="46"/>
      <c r="C2737" s="7"/>
      <c r="D2737" s="7"/>
      <c r="E2737" s="7">
        <f t="shared" si="49"/>
        <v>0</v>
      </c>
      <c r="F2737" s="7"/>
      <c r="G2737" s="7"/>
      <c r="H2737" s="2"/>
      <c r="I2737" s="7"/>
      <c r="J2737" s="2"/>
      <c r="K2737" s="7"/>
      <c r="L2737" s="2"/>
      <c r="M2737" s="7"/>
    </row>
    <row r="2738" spans="1:13" ht="12.75">
      <c r="A2738" s="41" t="s">
        <v>43</v>
      </c>
      <c r="B2738" s="46"/>
      <c r="C2738" s="7"/>
      <c r="D2738" s="7"/>
      <c r="E2738" s="7">
        <f t="shared" si="49"/>
        <v>0</v>
      </c>
      <c r="F2738" s="7"/>
      <c r="G2738" s="7"/>
      <c r="H2738" s="2"/>
      <c r="I2738" s="7"/>
      <c r="J2738" s="2"/>
      <c r="K2738" s="7"/>
      <c r="L2738" s="2"/>
      <c r="M2738" s="7"/>
    </row>
    <row r="2739" spans="1:13" ht="12.75">
      <c r="A2739" s="41" t="s">
        <v>30</v>
      </c>
      <c r="B2739" s="46"/>
      <c r="C2739" s="7"/>
      <c r="D2739" s="7"/>
      <c r="E2739" s="7">
        <f t="shared" si="49"/>
        <v>1885</v>
      </c>
      <c r="F2739" s="7"/>
      <c r="G2739" s="7"/>
      <c r="H2739" s="2"/>
      <c r="I2739" s="7">
        <v>1885</v>
      </c>
      <c r="J2739" s="2"/>
      <c r="K2739" s="7"/>
      <c r="L2739" s="2"/>
      <c r="M2739" s="7"/>
    </row>
    <row r="2740" spans="1:13" ht="12.75">
      <c r="A2740" s="41" t="s">
        <v>54</v>
      </c>
      <c r="B2740" s="46"/>
      <c r="C2740" s="7"/>
      <c r="D2740" s="7"/>
      <c r="E2740" s="7">
        <f t="shared" si="49"/>
        <v>74.567024</v>
      </c>
      <c r="F2740" s="7"/>
      <c r="G2740" s="7">
        <f>0.0196*C2719</f>
        <v>74.567024</v>
      </c>
      <c r="H2740" s="2"/>
      <c r="I2740" s="7"/>
      <c r="J2740" s="2"/>
      <c r="K2740" s="7"/>
      <c r="L2740" s="2"/>
      <c r="M2740" s="7"/>
    </row>
    <row r="2741" spans="1:13" ht="13.5" thickBot="1">
      <c r="A2741" s="48" t="s">
        <v>55</v>
      </c>
      <c r="B2741" s="49"/>
      <c r="C2741" s="50"/>
      <c r="D2741" s="50"/>
      <c r="E2741" s="50">
        <f t="shared" si="49"/>
        <v>308.44239000000005</v>
      </c>
      <c r="F2741" s="50"/>
      <c r="G2741" s="50"/>
      <c r="H2741" s="22"/>
      <c r="I2741" s="50">
        <f>0.0685*C2719</f>
        <v>260.60414000000003</v>
      </c>
      <c r="J2741" s="22"/>
      <c r="K2741" s="50">
        <f>0.0125*K2719</f>
        <v>47.83825</v>
      </c>
      <c r="L2741" s="22"/>
      <c r="M2741" s="50"/>
    </row>
    <row r="2742" spans="1:13" ht="13.5" thickBot="1">
      <c r="A2742" s="51" t="s">
        <v>76</v>
      </c>
      <c r="B2742" s="81"/>
      <c r="C2742" s="63"/>
      <c r="D2742" s="63"/>
      <c r="E2742" s="63">
        <f t="shared" si="49"/>
        <v>275452.809145</v>
      </c>
      <c r="F2742" s="63"/>
      <c r="G2742" s="63">
        <f>G2726+G2728</f>
        <v>67148.3483456</v>
      </c>
      <c r="H2742" s="26"/>
      <c r="I2742" s="63">
        <f>I2726+I2728</f>
        <v>77878.1622624</v>
      </c>
      <c r="J2742" s="26"/>
      <c r="K2742" s="63">
        <f>K2726+K2728</f>
        <v>67002.5338668</v>
      </c>
      <c r="L2742" s="26"/>
      <c r="M2742" s="29">
        <f>M2726+M2728</f>
        <v>63423.7646702</v>
      </c>
    </row>
    <row r="2743" spans="1:13" ht="21.75">
      <c r="A2743" s="54" t="s">
        <v>15</v>
      </c>
      <c r="B2743" s="55"/>
      <c r="C2743" s="66"/>
      <c r="D2743" s="66"/>
      <c r="E2743" s="56">
        <f t="shared" si="49"/>
        <v>0</v>
      </c>
      <c r="F2743" s="66"/>
      <c r="G2743" s="56"/>
      <c r="H2743" s="74"/>
      <c r="I2743" s="56"/>
      <c r="J2743" s="74"/>
      <c r="K2743" s="56"/>
      <c r="L2743" s="74"/>
      <c r="M2743" s="56"/>
    </row>
    <row r="2744" spans="1:13" ht="12.75">
      <c r="A2744" s="41" t="s">
        <v>17</v>
      </c>
      <c r="B2744" s="46"/>
      <c r="C2744" s="7"/>
      <c r="D2744" s="7"/>
      <c r="E2744" s="7">
        <f t="shared" si="49"/>
        <v>107885.620627</v>
      </c>
      <c r="F2744" s="7"/>
      <c r="G2744" s="7">
        <f>6.73321*C2719</f>
        <v>25616.0934524</v>
      </c>
      <c r="H2744" s="2"/>
      <c r="I2744" s="7">
        <f>7.02207*C2719</f>
        <v>26715.0439908</v>
      </c>
      <c r="J2744" s="2"/>
      <c r="K2744" s="7">
        <f>7.2754*K2719</f>
        <v>27843.392324</v>
      </c>
      <c r="L2744" s="2"/>
      <c r="M2744" s="7">
        <f>7.24083*K2719</f>
        <v>27711.0908598</v>
      </c>
    </row>
    <row r="2745" spans="1:13" ht="12.75">
      <c r="A2745" s="41" t="s">
        <v>360</v>
      </c>
      <c r="B2745" s="46"/>
      <c r="C2745" s="71"/>
      <c r="D2745" s="7"/>
      <c r="E2745" s="7">
        <f t="shared" si="49"/>
        <v>1589.7</v>
      </c>
      <c r="F2745" s="7"/>
      <c r="G2745" s="7"/>
      <c r="H2745" s="2"/>
      <c r="I2745" s="7"/>
      <c r="J2745" s="2"/>
      <c r="K2745" s="7">
        <v>1589.7</v>
      </c>
      <c r="L2745" s="2"/>
      <c r="M2745" s="7"/>
    </row>
    <row r="2746" spans="1:13" ht="12.75">
      <c r="A2746" s="41" t="s">
        <v>67</v>
      </c>
      <c r="B2746" s="46"/>
      <c r="C2746" s="7"/>
      <c r="D2746" s="7"/>
      <c r="E2746" s="7">
        <f t="shared" si="49"/>
        <v>43144.66</v>
      </c>
      <c r="F2746" s="7"/>
      <c r="G2746" s="7">
        <v>19132.4</v>
      </c>
      <c r="H2746" s="2"/>
      <c r="I2746" s="7">
        <v>8509</v>
      </c>
      <c r="J2746" s="2"/>
      <c r="K2746" s="7">
        <v>11540</v>
      </c>
      <c r="L2746" s="2"/>
      <c r="M2746" s="7">
        <v>3963.26</v>
      </c>
    </row>
    <row r="2747" spans="1:13" ht="12.75">
      <c r="A2747" s="41" t="s">
        <v>68</v>
      </c>
      <c r="B2747" s="46"/>
      <c r="C2747" s="7"/>
      <c r="D2747" s="7"/>
      <c r="E2747" s="7">
        <f t="shared" si="49"/>
        <v>0</v>
      </c>
      <c r="F2747" s="7"/>
      <c r="G2747" s="7"/>
      <c r="H2747" s="2"/>
      <c r="I2747" s="7"/>
      <c r="J2747" s="2"/>
      <c r="K2747" s="7"/>
      <c r="L2747" s="2"/>
      <c r="M2747" s="7"/>
    </row>
    <row r="2748" spans="1:13" ht="12.75">
      <c r="A2748" s="41" t="s">
        <v>69</v>
      </c>
      <c r="B2748" s="46"/>
      <c r="C2748" s="7"/>
      <c r="D2748" s="7"/>
      <c r="E2748" s="7">
        <f t="shared" si="49"/>
        <v>0</v>
      </c>
      <c r="F2748" s="7"/>
      <c r="G2748" s="7"/>
      <c r="H2748" s="2"/>
      <c r="I2748" s="7"/>
      <c r="J2748" s="2"/>
      <c r="K2748" s="7"/>
      <c r="L2748" s="2"/>
      <c r="M2748" s="7"/>
    </row>
    <row r="2749" spans="1:13" ht="12.75">
      <c r="A2749" s="41" t="s">
        <v>26</v>
      </c>
      <c r="B2749" s="46"/>
      <c r="C2749" s="7"/>
      <c r="D2749" s="7"/>
      <c r="E2749" s="7">
        <f t="shared" si="49"/>
        <v>2686.88</v>
      </c>
      <c r="F2749" s="7"/>
      <c r="G2749" s="7"/>
      <c r="H2749" s="2"/>
      <c r="I2749" s="7"/>
      <c r="J2749" s="2"/>
      <c r="K2749" s="7"/>
      <c r="L2749" s="2"/>
      <c r="M2749" s="7">
        <v>2686.88</v>
      </c>
    </row>
    <row r="2750" spans="1:13" ht="12.75">
      <c r="A2750" s="41" t="s">
        <v>28</v>
      </c>
      <c r="B2750" s="46"/>
      <c r="C2750" s="7"/>
      <c r="D2750" s="7"/>
      <c r="E2750" s="7">
        <f t="shared" si="49"/>
        <v>764.16</v>
      </c>
      <c r="F2750" s="7"/>
      <c r="G2750" s="7"/>
      <c r="H2750" s="2"/>
      <c r="I2750" s="7"/>
      <c r="J2750" s="2"/>
      <c r="K2750" s="7"/>
      <c r="L2750" s="2"/>
      <c r="M2750" s="7">
        <v>764.16</v>
      </c>
    </row>
    <row r="2751" spans="1:13" ht="12.75">
      <c r="A2751" s="41" t="s">
        <v>359</v>
      </c>
      <c r="B2751" s="46"/>
      <c r="C2751" s="7"/>
      <c r="D2751" s="7"/>
      <c r="E2751" s="7"/>
      <c r="F2751" s="7"/>
      <c r="G2751" s="7"/>
      <c r="H2751" s="2"/>
      <c r="I2751" s="7"/>
      <c r="J2751" s="2"/>
      <c r="K2751" s="7">
        <v>210</v>
      </c>
      <c r="L2751" s="2"/>
      <c r="M2751" s="7"/>
    </row>
    <row r="2752" spans="1:13" ht="12.75">
      <c r="A2752" s="41" t="s">
        <v>440</v>
      </c>
      <c r="B2752" s="46"/>
      <c r="C2752" s="7"/>
      <c r="D2752" s="7"/>
      <c r="E2752" s="7">
        <f t="shared" si="49"/>
        <v>3535</v>
      </c>
      <c r="F2752" s="7"/>
      <c r="G2752" s="7"/>
      <c r="H2752" s="2"/>
      <c r="I2752" s="7"/>
      <c r="J2752" s="2"/>
      <c r="K2752" s="7"/>
      <c r="L2752" s="2"/>
      <c r="M2752" s="7">
        <v>3535</v>
      </c>
    </row>
    <row r="2753" spans="1:13" ht="12.75">
      <c r="A2753" s="41" t="s">
        <v>271</v>
      </c>
      <c r="B2753" s="46"/>
      <c r="C2753" s="7"/>
      <c r="D2753" s="7"/>
      <c r="E2753" s="7">
        <f t="shared" si="49"/>
        <v>20000</v>
      </c>
      <c r="F2753" s="7"/>
      <c r="G2753" s="7"/>
      <c r="H2753" s="2"/>
      <c r="I2753" s="7">
        <v>20000</v>
      </c>
      <c r="J2753" s="2"/>
      <c r="K2753" s="7"/>
      <c r="L2753" s="2"/>
      <c r="M2753" s="7"/>
    </row>
    <row r="2754" spans="1:13" ht="12.75">
      <c r="A2754" s="41" t="s">
        <v>62</v>
      </c>
      <c r="B2754" s="46"/>
      <c r="C2754" s="7"/>
      <c r="D2754" s="7"/>
      <c r="E2754" s="7">
        <f t="shared" si="49"/>
        <v>0</v>
      </c>
      <c r="F2754" s="7"/>
      <c r="G2754" s="7"/>
      <c r="H2754" s="2"/>
      <c r="I2754" s="7"/>
      <c r="J2754" s="2"/>
      <c r="K2754" s="7"/>
      <c r="L2754" s="2"/>
      <c r="M2754" s="7"/>
    </row>
    <row r="2755" spans="1:13" ht="12.75">
      <c r="A2755" s="41" t="s">
        <v>63</v>
      </c>
      <c r="B2755" s="46"/>
      <c r="C2755" s="7"/>
      <c r="D2755" s="7"/>
      <c r="E2755" s="7">
        <f t="shared" si="49"/>
        <v>0</v>
      </c>
      <c r="F2755" s="7"/>
      <c r="G2755" s="7"/>
      <c r="H2755" s="2"/>
      <c r="I2755" s="7"/>
      <c r="J2755" s="2"/>
      <c r="K2755" s="7"/>
      <c r="L2755" s="2"/>
      <c r="M2755" s="7"/>
    </row>
    <row r="2756" spans="1:13" ht="12.75">
      <c r="A2756" s="41" t="s">
        <v>150</v>
      </c>
      <c r="B2756" s="46"/>
      <c r="C2756" s="7"/>
      <c r="D2756" s="7"/>
      <c r="E2756" s="7">
        <f t="shared" si="49"/>
        <v>19</v>
      </c>
      <c r="F2756" s="7"/>
      <c r="G2756" s="7"/>
      <c r="H2756" s="2"/>
      <c r="I2756" s="7">
        <v>19</v>
      </c>
      <c r="J2756" s="2"/>
      <c r="K2756" s="7"/>
      <c r="L2756" s="2"/>
      <c r="M2756" s="7"/>
    </row>
    <row r="2757" spans="1:13" ht="12.75">
      <c r="A2757" s="41" t="s">
        <v>51</v>
      </c>
      <c r="B2757" s="46"/>
      <c r="C2757" s="7"/>
      <c r="D2757" s="7"/>
      <c r="E2757" s="7">
        <f t="shared" si="49"/>
        <v>3366</v>
      </c>
      <c r="F2757" s="7"/>
      <c r="G2757" s="7"/>
      <c r="H2757" s="2"/>
      <c r="I2757" s="7">
        <v>3366</v>
      </c>
      <c r="J2757" s="2"/>
      <c r="K2757" s="7"/>
      <c r="L2757" s="2"/>
      <c r="M2757" s="7"/>
    </row>
    <row r="2758" spans="1:13" ht="12.75">
      <c r="A2758" s="58" t="s">
        <v>52</v>
      </c>
      <c r="B2758" s="46"/>
      <c r="C2758" s="7"/>
      <c r="D2758" s="7"/>
      <c r="E2758" s="7">
        <f t="shared" si="49"/>
        <v>0</v>
      </c>
      <c r="F2758" s="7"/>
      <c r="G2758" s="7"/>
      <c r="H2758" s="2"/>
      <c r="I2758" s="7"/>
      <c r="J2758" s="2"/>
      <c r="K2758" s="7"/>
      <c r="L2758" s="2"/>
      <c r="M2758" s="7"/>
    </row>
    <row r="2759" spans="1:13" ht="12.75">
      <c r="A2759" s="41" t="s">
        <v>80</v>
      </c>
      <c r="B2759" s="46"/>
      <c r="C2759" s="7"/>
      <c r="D2759" s="7"/>
      <c r="E2759" s="7">
        <f t="shared" si="49"/>
        <v>0</v>
      </c>
      <c r="F2759" s="7"/>
      <c r="G2759" s="7"/>
      <c r="H2759" s="2"/>
      <c r="I2759" s="7"/>
      <c r="J2759" s="2"/>
      <c r="K2759" s="7"/>
      <c r="L2759" s="2"/>
      <c r="M2759" s="7"/>
    </row>
    <row r="2760" spans="1:13" ht="12.75">
      <c r="A2760" s="41" t="s">
        <v>157</v>
      </c>
      <c r="B2760" s="46"/>
      <c r="C2760" s="7"/>
      <c r="D2760" s="7"/>
      <c r="E2760" s="7">
        <f t="shared" si="49"/>
        <v>5700</v>
      </c>
      <c r="F2760" s="7"/>
      <c r="G2760" s="7"/>
      <c r="H2760" s="2"/>
      <c r="I2760" s="7"/>
      <c r="J2760" s="2"/>
      <c r="K2760" s="7">
        <v>5700</v>
      </c>
      <c r="L2760" s="2"/>
      <c r="M2760" s="7"/>
    </row>
    <row r="2761" spans="1:13" ht="12.75">
      <c r="A2761" s="41" t="s">
        <v>358</v>
      </c>
      <c r="B2761" s="46"/>
      <c r="C2761" s="7"/>
      <c r="D2761" s="7"/>
      <c r="E2761" s="7"/>
      <c r="F2761" s="7"/>
      <c r="G2761" s="7"/>
      <c r="H2761" s="2"/>
      <c r="I2761" s="7"/>
      <c r="J2761" s="2"/>
      <c r="K2761" s="7">
        <v>10000</v>
      </c>
      <c r="L2761" s="2"/>
      <c r="M2761" s="7"/>
    </row>
    <row r="2762" spans="1:13" ht="12.75">
      <c r="A2762" s="41" t="s">
        <v>57</v>
      </c>
      <c r="B2762" s="46"/>
      <c r="C2762" s="7"/>
      <c r="D2762" s="7"/>
      <c r="E2762" s="7">
        <f t="shared" si="49"/>
        <v>10827.011524</v>
      </c>
      <c r="F2762" s="7" t="s">
        <v>70</v>
      </c>
      <c r="G2762" s="7">
        <v>10800</v>
      </c>
      <c r="H2762" s="2"/>
      <c r="I2762" s="7">
        <f>0.0071*C2719</f>
        <v>27.011524</v>
      </c>
      <c r="J2762" s="2"/>
      <c r="K2762" s="7"/>
      <c r="L2762" s="2"/>
      <c r="M2762" s="7"/>
    </row>
    <row r="2763" spans="1:13" ht="12.75">
      <c r="A2763" s="41" t="s">
        <v>33</v>
      </c>
      <c r="B2763" s="46"/>
      <c r="C2763" s="7"/>
      <c r="D2763" s="7"/>
      <c r="E2763" s="7">
        <f t="shared" si="49"/>
        <v>0</v>
      </c>
      <c r="F2763" s="15"/>
      <c r="G2763" s="7"/>
      <c r="H2763" s="2"/>
      <c r="I2763" s="7"/>
      <c r="J2763" s="2"/>
      <c r="K2763" s="7"/>
      <c r="L2763" s="2"/>
      <c r="M2763" s="7"/>
    </row>
    <row r="2764" spans="1:13" ht="12.75">
      <c r="A2764" s="41" t="s">
        <v>50</v>
      </c>
      <c r="B2764" s="46"/>
      <c r="C2764" s="7"/>
      <c r="D2764" s="7"/>
      <c r="E2764" s="7">
        <f t="shared" si="49"/>
        <v>4177.311250000001</v>
      </c>
      <c r="F2764" s="7"/>
      <c r="G2764" s="7">
        <f>0.2455*C2719</f>
        <v>933.99002</v>
      </c>
      <c r="H2764" s="2"/>
      <c r="I2764" s="7">
        <f>0.5802*C2719</f>
        <v>2207.336088</v>
      </c>
      <c r="J2764" s="2"/>
      <c r="K2764" s="7">
        <f>0.1437*K2719</f>
        <v>549.948522</v>
      </c>
      <c r="L2764" s="2"/>
      <c r="M2764" s="7">
        <f>0.127*K2719</f>
        <v>486.03662</v>
      </c>
    </row>
    <row r="2765" spans="1:13" ht="13.5" thickBot="1">
      <c r="A2765" s="48" t="s">
        <v>54</v>
      </c>
      <c r="B2765" s="49"/>
      <c r="C2765" s="50"/>
      <c r="D2765" s="50"/>
      <c r="E2765" s="50">
        <f t="shared" si="49"/>
        <v>117.697012</v>
      </c>
      <c r="F2765" s="50"/>
      <c r="G2765" s="50"/>
      <c r="H2765" s="22"/>
      <c r="I2765" s="50">
        <f>0.0078*C2719</f>
        <v>29.674632</v>
      </c>
      <c r="J2765" s="22"/>
      <c r="K2765" s="50">
        <f>0.011*K2719</f>
        <v>42.09766</v>
      </c>
      <c r="L2765" s="22"/>
      <c r="M2765" s="50">
        <f>0.012*K2719</f>
        <v>45.92472</v>
      </c>
    </row>
    <row r="2766" spans="1:13" ht="13.5" thickBot="1">
      <c r="A2766" s="59" t="s">
        <v>10</v>
      </c>
      <c r="B2766" s="81"/>
      <c r="C2766" s="63"/>
      <c r="D2766" s="63"/>
      <c r="E2766" s="63">
        <f t="shared" si="49"/>
        <v>214023.04041299998</v>
      </c>
      <c r="F2766" s="63"/>
      <c r="G2766" s="63">
        <f>SUM(G2744:G2765)</f>
        <v>56482.483472399996</v>
      </c>
      <c r="H2766" s="26"/>
      <c r="I2766" s="63">
        <f>SUM(I2744:I2765)</f>
        <v>60873.0662348</v>
      </c>
      <c r="J2766" s="26"/>
      <c r="K2766" s="63">
        <f>SUM(K2744:K2765)</f>
        <v>57475.138505999996</v>
      </c>
      <c r="L2766" s="26"/>
      <c r="M2766" s="29">
        <f>SUM(M2744:M2765)</f>
        <v>39192.3521998</v>
      </c>
    </row>
    <row r="2767" spans="1:13" ht="12.75">
      <c r="A2767" s="60" t="s">
        <v>42</v>
      </c>
      <c r="B2767" s="55"/>
      <c r="C2767" s="66"/>
      <c r="D2767" s="66"/>
      <c r="E2767" s="56">
        <f t="shared" si="49"/>
        <v>0</v>
      </c>
      <c r="F2767" s="66"/>
      <c r="G2767" s="56"/>
      <c r="H2767" s="74"/>
      <c r="I2767" s="56"/>
      <c r="J2767" s="74"/>
      <c r="K2767" s="56"/>
      <c r="L2767" s="74"/>
      <c r="M2767" s="56"/>
    </row>
    <row r="2768" spans="1:13" ht="12.75">
      <c r="A2768" s="138" t="s">
        <v>437</v>
      </c>
      <c r="B2768" s="55"/>
      <c r="C2768" s="66"/>
      <c r="D2768" s="66"/>
      <c r="E2768" s="56">
        <f t="shared" si="49"/>
        <v>267.2</v>
      </c>
      <c r="F2768" s="66"/>
      <c r="G2768" s="56"/>
      <c r="H2768" s="74"/>
      <c r="I2768" s="56"/>
      <c r="J2768" s="74"/>
      <c r="K2768" s="56"/>
      <c r="L2768" s="74"/>
      <c r="M2768" s="56">
        <v>267.2</v>
      </c>
    </row>
    <row r="2769" spans="1:13" ht="12.75">
      <c r="A2769" s="41" t="s">
        <v>56</v>
      </c>
      <c r="B2769" s="46"/>
      <c r="C2769" s="7"/>
      <c r="D2769" s="7"/>
      <c r="E2769" s="56">
        <f t="shared" si="49"/>
        <v>0</v>
      </c>
      <c r="F2769" s="7"/>
      <c r="G2769" s="7"/>
      <c r="H2769" s="2"/>
      <c r="I2769" s="7"/>
      <c r="J2769" s="2"/>
      <c r="K2769" s="7"/>
      <c r="L2769" s="2"/>
      <c r="M2769" s="7"/>
    </row>
    <row r="2770" spans="1:13" ht="12.75">
      <c r="A2770" s="41" t="s">
        <v>156</v>
      </c>
      <c r="B2770" s="49"/>
      <c r="C2770" s="50"/>
      <c r="D2770" s="50"/>
      <c r="E2770" s="56">
        <f t="shared" si="49"/>
        <v>158</v>
      </c>
      <c r="F2770" s="50"/>
      <c r="G2770" s="50"/>
      <c r="H2770" s="22"/>
      <c r="I2770" s="50"/>
      <c r="J2770" s="22"/>
      <c r="K2770" s="50"/>
      <c r="L2770" s="22"/>
      <c r="M2770" s="50">
        <v>158</v>
      </c>
    </row>
    <row r="2771" spans="1:13" ht="13.5" thickBot="1">
      <c r="A2771" s="48" t="s">
        <v>16</v>
      </c>
      <c r="B2771" s="49"/>
      <c r="C2771" s="50"/>
      <c r="D2771" s="50"/>
      <c r="E2771" s="50">
        <f t="shared" si="49"/>
        <v>136.424724</v>
      </c>
      <c r="F2771" s="50"/>
      <c r="G2771" s="50">
        <f>0.0089*C2719</f>
        <v>33.859516</v>
      </c>
      <c r="H2771" s="22"/>
      <c r="I2771" s="50"/>
      <c r="J2771" s="22"/>
      <c r="K2771" s="50"/>
      <c r="L2771" s="22"/>
      <c r="M2771" s="50">
        <f>0.0268*K2719</f>
        <v>102.565208</v>
      </c>
    </row>
    <row r="2772" spans="1:13" ht="13.5" thickBot="1">
      <c r="A2772" s="62" t="s">
        <v>10</v>
      </c>
      <c r="B2772" s="81"/>
      <c r="C2772" s="63"/>
      <c r="D2772" s="63"/>
      <c r="E2772" s="63">
        <f t="shared" si="49"/>
        <v>561.624724</v>
      </c>
      <c r="F2772" s="63"/>
      <c r="G2772" s="63">
        <f>SUM(G2769:G2771)</f>
        <v>33.859516</v>
      </c>
      <c r="H2772" s="26"/>
      <c r="I2772" s="63"/>
      <c r="J2772" s="26"/>
      <c r="K2772" s="63"/>
      <c r="L2772" s="26"/>
      <c r="M2772" s="29">
        <f>SUM(M2768:M2771)</f>
        <v>527.765208</v>
      </c>
    </row>
    <row r="2773" spans="1:13" ht="13.5" thickBot="1">
      <c r="A2773" s="64" t="s">
        <v>29</v>
      </c>
      <c r="B2773" s="81"/>
      <c r="C2773" s="63"/>
      <c r="D2773" s="63"/>
      <c r="E2773" s="63">
        <f t="shared" si="49"/>
        <v>8751.212228</v>
      </c>
      <c r="F2773" s="63"/>
      <c r="G2773" s="63">
        <f>0.4236*C2719</f>
        <v>1611.560784</v>
      </c>
      <c r="H2773" s="26"/>
      <c r="I2773" s="63">
        <f>0.5971*C2719</f>
        <v>2271.631124</v>
      </c>
      <c r="J2773" s="26"/>
      <c r="K2773" s="63"/>
      <c r="L2773" s="26"/>
      <c r="M2773" s="29">
        <f>1.272*K2719</f>
        <v>4868.02032</v>
      </c>
    </row>
    <row r="2774" spans="1:13" ht="21.75">
      <c r="A2774" s="65" t="s">
        <v>83</v>
      </c>
      <c r="B2774" s="61"/>
      <c r="C2774" s="56"/>
      <c r="D2774" s="56"/>
      <c r="E2774" s="56">
        <f t="shared" si="49"/>
        <v>498788.68651</v>
      </c>
      <c r="F2774" s="56"/>
      <c r="G2774" s="56">
        <f>G2742+G2766+G2772+G2773</f>
        <v>125276.25211799999</v>
      </c>
      <c r="H2774" s="74"/>
      <c r="I2774" s="56">
        <f>I2742+I2766+I2772+I2773</f>
        <v>141022.8596212</v>
      </c>
      <c r="J2774" s="74"/>
      <c r="K2774" s="56">
        <f>K2742+K2766+K2772+K2773</f>
        <v>124477.6723728</v>
      </c>
      <c r="L2774" s="74"/>
      <c r="M2774" s="56">
        <f>M2742+M2766+M2772+M2773</f>
        <v>108011.90239799999</v>
      </c>
    </row>
    <row r="2775" spans="1:13" ht="33.75">
      <c r="A2775" s="67" t="s">
        <v>84</v>
      </c>
      <c r="B2775" s="46"/>
      <c r="C2775" s="7"/>
      <c r="D2775" s="7"/>
      <c r="E2775" s="8">
        <f>E2774/3/C2719</f>
        <v>43.702330830117795</v>
      </c>
      <c r="F2775" s="7"/>
      <c r="G2775" s="8">
        <f>G2774/3/C2719</f>
        <v>10.9763199593107</v>
      </c>
      <c r="H2775" s="2"/>
      <c r="I2775" s="8">
        <f>I2774/3/C2719</f>
        <v>12.35598928455524</v>
      </c>
      <c r="J2775" s="2"/>
      <c r="K2775" s="8">
        <f>K2774/3/K2719</f>
        <v>10.8418884097976</v>
      </c>
      <c r="L2775" s="2"/>
      <c r="M2775" s="8">
        <f>M2774/3/K2719</f>
        <v>9.40773530229471</v>
      </c>
    </row>
    <row r="2776" spans="1:13" ht="12.75">
      <c r="A2776" s="69" t="s">
        <v>20</v>
      </c>
      <c r="B2776" s="44"/>
      <c r="C2776" s="45"/>
      <c r="D2776" s="45"/>
      <c r="E2776" s="7">
        <f>E2724-E2774</f>
        <v>-113238.89650999999</v>
      </c>
      <c r="F2776" s="45"/>
      <c r="G2776" s="7">
        <f>G2724-G2774</f>
        <v>-29445.652117999984</v>
      </c>
      <c r="H2776" s="2"/>
      <c r="I2776" s="7">
        <f>I2724-I2774-29446</f>
        <v>-79446.38962120001</v>
      </c>
      <c r="J2776" s="2"/>
      <c r="K2776" s="7">
        <f>K2724-K2774-79446</f>
        <v>-96185.30237280001</v>
      </c>
      <c r="L2776" s="2"/>
      <c r="M2776" s="7">
        <f>M2724-M2774-96185</f>
        <v>-113238.55239799999</v>
      </c>
    </row>
    <row r="2777" spans="1:13" ht="12.75">
      <c r="A2777" s="14" t="s">
        <v>24</v>
      </c>
      <c r="B2777" s="14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</row>
    <row r="2778" spans="1:13" ht="12.75">
      <c r="A2778" s="14" t="s">
        <v>35</v>
      </c>
      <c r="B2778" s="14"/>
      <c r="C2778" s="14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</row>
    <row r="2779" spans="1:13" ht="12.75">
      <c r="A2779" s="14" t="s">
        <v>25</v>
      </c>
      <c r="B2779" s="14"/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</row>
    <row r="2780" spans="1:13" ht="12.75">
      <c r="A2780" s="14"/>
      <c r="B2780" s="14"/>
      <c r="C2780" s="14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</row>
    <row r="2781" spans="1:13" ht="12.75">
      <c r="A2781" s="14"/>
      <c r="B2781" s="14"/>
      <c r="C2781" s="14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</row>
    <row r="2782" spans="1:13" ht="12.75">
      <c r="A2782" s="14"/>
      <c r="B2782" s="14"/>
      <c r="C2782" s="14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</row>
    <row r="2783" spans="1:13" ht="12.75">
      <c r="A2783" s="14"/>
      <c r="B2783" s="14"/>
      <c r="C2783" s="14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</row>
    <row r="2784" spans="1:13" ht="12.75">
      <c r="A2784" s="14"/>
      <c r="B2784" s="14"/>
      <c r="C2784" s="14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</row>
    <row r="2785" spans="1:13" ht="12.75">
      <c r="A2785" s="14"/>
      <c r="B2785" s="14"/>
      <c r="C2785" s="14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</row>
    <row r="2786" spans="1:13" ht="12.75">
      <c r="A2786" s="14"/>
      <c r="B2786" s="14"/>
      <c r="C2786" s="14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</row>
    <row r="2787" spans="1:13" ht="12.75">
      <c r="A2787" s="14"/>
      <c r="B2787" s="14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</row>
    <row r="2788" spans="1:13" ht="12.75">
      <c r="A2788" s="14"/>
      <c r="B2788" s="14"/>
      <c r="C2788" s="14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</row>
    <row r="2789" spans="1:13" ht="12.75">
      <c r="A2789" s="14"/>
      <c r="B2789" s="14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</row>
    <row r="2790" spans="1:13" ht="12.75">
      <c r="A2790" s="14"/>
      <c r="B2790" s="14"/>
      <c r="C2790" s="14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</row>
    <row r="2791" spans="1:13" ht="12.75">
      <c r="A2791" s="14"/>
      <c r="B2791" s="14"/>
      <c r="C2791" s="14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</row>
    <row r="2792" spans="1:13" ht="12.75">
      <c r="A2792" s="14"/>
      <c r="B2792" s="14"/>
      <c r="C2792" s="14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</row>
    <row r="2793" spans="1:13" ht="12.75">
      <c r="A2793" s="14"/>
      <c r="B2793" s="14"/>
      <c r="C2793" s="14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</row>
    <row r="2794" spans="1:13" ht="12.75">
      <c r="A2794" s="14"/>
      <c r="B2794" s="14"/>
      <c r="C2794" s="14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</row>
    <row r="2795" spans="1:13" ht="12.75">
      <c r="A2795" s="14"/>
      <c r="B2795" s="14"/>
      <c r="C2795" s="14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</row>
    <row r="2796" spans="1:13" ht="12.75">
      <c r="A2796" s="14"/>
      <c r="B2796" s="14"/>
      <c r="C2796" s="14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</row>
    <row r="2797" spans="1:13" ht="0.75" customHeight="1">
      <c r="A2797" s="14"/>
      <c r="B2797" s="14"/>
      <c r="C2797" s="14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</row>
    <row r="2798" spans="1:13" ht="12.75" hidden="1">
      <c r="A2798" s="14"/>
      <c r="B2798" s="14"/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</row>
    <row r="2799" spans="1:13" ht="12.75" hidden="1">
      <c r="A2799" s="14"/>
      <c r="B2799" s="14"/>
      <c r="C2799" s="14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</row>
    <row r="2800" spans="1:13" ht="12.75" hidden="1">
      <c r="A2800" s="14"/>
      <c r="B2800" s="14"/>
      <c r="C2800" s="14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</row>
    <row r="2801" spans="1:13" ht="12.75" hidden="1">
      <c r="A2801" s="14"/>
      <c r="B2801" s="14"/>
      <c r="C2801" s="14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</row>
    <row r="2802" spans="1:13" ht="12.75" hidden="1">
      <c r="A2802" s="14"/>
      <c r="B2802" s="14"/>
      <c r="C2802" s="14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</row>
    <row r="2803" spans="1:13" ht="12.75">
      <c r="A2803" s="31" t="s">
        <v>21</v>
      </c>
      <c r="B2803" s="31"/>
      <c r="C2803" s="14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</row>
    <row r="2804" spans="1:13" ht="12.75">
      <c r="A2804" s="14" t="s">
        <v>31</v>
      </c>
      <c r="B2804" s="14"/>
      <c r="C2804" s="14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</row>
    <row r="2805" spans="1:13" ht="12.75">
      <c r="A2805" s="14" t="s">
        <v>41</v>
      </c>
      <c r="B2805" s="14"/>
      <c r="C2805" s="14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</row>
    <row r="2806" spans="1:13" ht="12.75">
      <c r="A2806" s="14" t="s">
        <v>130</v>
      </c>
      <c r="B2806" s="14"/>
      <c r="C2806" s="14"/>
      <c r="D2806" s="14"/>
      <c r="E2806" s="14" t="s">
        <v>32</v>
      </c>
      <c r="F2806" s="14"/>
      <c r="G2806" s="14"/>
      <c r="H2806" s="14"/>
      <c r="I2806" s="14"/>
      <c r="J2806" s="14"/>
      <c r="K2806" s="14"/>
      <c r="L2806" s="14"/>
      <c r="M2806" s="14"/>
    </row>
    <row r="2807" spans="1:13" ht="12.75" customHeight="1">
      <c r="A2807" s="6" t="s">
        <v>0</v>
      </c>
      <c r="B2807" s="151" t="s">
        <v>38</v>
      </c>
      <c r="C2807" s="152"/>
      <c r="D2807" s="149" t="s">
        <v>39</v>
      </c>
      <c r="E2807" s="150"/>
      <c r="F2807" s="149" t="s">
        <v>96</v>
      </c>
      <c r="G2807" s="150"/>
      <c r="H2807" s="149" t="s">
        <v>97</v>
      </c>
      <c r="I2807" s="150"/>
      <c r="J2807" s="149" t="s">
        <v>98</v>
      </c>
      <c r="K2807" s="150"/>
      <c r="L2807" s="149" t="s">
        <v>99</v>
      </c>
      <c r="M2807" s="150"/>
    </row>
    <row r="2808" spans="1:13" ht="12.75">
      <c r="A2808" s="11" t="s">
        <v>5</v>
      </c>
      <c r="B2808" s="153"/>
      <c r="C2808" s="154"/>
      <c r="D2808" s="6" t="s">
        <v>40</v>
      </c>
      <c r="E2808" s="6" t="s">
        <v>22</v>
      </c>
      <c r="F2808" s="6" t="s">
        <v>40</v>
      </c>
      <c r="G2808" s="13" t="s">
        <v>22</v>
      </c>
      <c r="H2808" s="2"/>
      <c r="I2808" s="2"/>
      <c r="J2808" s="2"/>
      <c r="K2808" s="2"/>
      <c r="L2808" s="2"/>
      <c r="M2808" s="2"/>
    </row>
    <row r="2809" spans="1:13" ht="12.75">
      <c r="A2809" s="2" t="s">
        <v>1</v>
      </c>
      <c r="B2809" s="2"/>
      <c r="C2809" s="6">
        <v>5</v>
      </c>
      <c r="D2809" s="2"/>
      <c r="E2809" s="2"/>
      <c r="F2809" s="2"/>
      <c r="G2809" s="2"/>
      <c r="H2809" s="2"/>
      <c r="I2809" s="2"/>
      <c r="J2809" s="2"/>
      <c r="K2809" s="2"/>
      <c r="L2809" s="2"/>
      <c r="M2809" s="2"/>
    </row>
    <row r="2810" spans="1:13" ht="12.75">
      <c r="A2810" s="2" t="s">
        <v>2</v>
      </c>
      <c r="B2810" s="2"/>
      <c r="C2810" s="6">
        <v>4</v>
      </c>
      <c r="D2810" s="2"/>
      <c r="E2810" s="2"/>
      <c r="F2810" s="2"/>
      <c r="G2810" s="2"/>
      <c r="H2810" s="2"/>
      <c r="I2810" s="2"/>
      <c r="J2810" s="2"/>
      <c r="K2810" s="2"/>
      <c r="L2810" s="2"/>
      <c r="M2810" s="2"/>
    </row>
    <row r="2811" spans="1:13" ht="12.75">
      <c r="A2811" s="2" t="s">
        <v>3</v>
      </c>
      <c r="B2811" s="2"/>
      <c r="C2811" s="6">
        <v>80</v>
      </c>
      <c r="D2811" s="2"/>
      <c r="E2811" s="2"/>
      <c r="F2811" s="2"/>
      <c r="G2811" s="2"/>
      <c r="H2811" s="2"/>
      <c r="I2811" s="2"/>
      <c r="J2811" s="2"/>
      <c r="K2811" s="2"/>
      <c r="L2811" s="2"/>
      <c r="M2811" s="2"/>
    </row>
    <row r="2812" spans="1:13" ht="12.75">
      <c r="A2812" s="2" t="s">
        <v>4</v>
      </c>
      <c r="B2812" s="6"/>
      <c r="C2812" s="6">
        <v>3810.68</v>
      </c>
      <c r="D2812" s="6"/>
      <c r="E2812" s="6"/>
      <c r="F2812" s="6"/>
      <c r="G2812" s="2"/>
      <c r="H2812" s="2"/>
      <c r="I2812" s="2"/>
      <c r="J2812" s="2"/>
      <c r="K2812" s="2"/>
      <c r="L2812" s="2"/>
      <c r="M2812" s="2"/>
    </row>
    <row r="2813" spans="1:13" ht="21.75">
      <c r="A2813" s="35" t="s">
        <v>6</v>
      </c>
      <c r="B2813" s="11" t="s">
        <v>40</v>
      </c>
      <c r="C2813" s="2" t="s">
        <v>22</v>
      </c>
      <c r="D2813" s="2"/>
      <c r="E2813" s="2"/>
      <c r="F2813" s="2"/>
      <c r="G2813" s="2"/>
      <c r="H2813" s="2"/>
      <c r="I2813" s="2"/>
      <c r="J2813" s="2"/>
      <c r="K2813" s="2"/>
      <c r="L2813" s="2"/>
      <c r="M2813" s="2"/>
    </row>
    <row r="2814" spans="1:13" ht="22.5">
      <c r="A2814" s="40" t="s">
        <v>7</v>
      </c>
      <c r="B2814" s="3"/>
      <c r="C2814" s="6"/>
      <c r="D2814" s="6"/>
      <c r="E2814" s="6">
        <f>G2814+I2814+K2814+M2814</f>
        <v>462709.41</v>
      </c>
      <c r="F2814" s="2"/>
      <c r="G2814" s="2">
        <v>107041.29</v>
      </c>
      <c r="H2814" s="2"/>
      <c r="I2814" s="2">
        <v>107964.63</v>
      </c>
      <c r="J2814" s="2"/>
      <c r="K2814" s="2">
        <v>127491.73</v>
      </c>
      <c r="L2814" s="2"/>
      <c r="M2814" s="2">
        <v>120211.76</v>
      </c>
    </row>
    <row r="2815" spans="1:13" ht="12.75">
      <c r="A2815" s="41" t="s">
        <v>8</v>
      </c>
      <c r="B2815" s="3"/>
      <c r="C2815" s="6"/>
      <c r="D2815" s="6"/>
      <c r="E2815" s="6"/>
      <c r="F2815" s="2"/>
      <c r="G2815" s="2"/>
      <c r="H2815" s="2"/>
      <c r="I2815" s="2"/>
      <c r="J2815" s="2"/>
      <c r="K2815" s="2"/>
      <c r="L2815" s="2"/>
      <c r="M2815" s="2"/>
    </row>
    <row r="2816" spans="1:13" ht="12.75">
      <c r="A2816" s="41" t="s">
        <v>9</v>
      </c>
      <c r="B2816" s="3"/>
      <c r="C2816" s="6"/>
      <c r="D2816" s="6"/>
      <c r="E2816" s="6"/>
      <c r="F2816" s="2"/>
      <c r="G2816" s="2"/>
      <c r="H2816" s="2"/>
      <c r="I2816" s="2"/>
      <c r="J2816" s="2"/>
      <c r="K2816" s="2"/>
      <c r="L2816" s="2"/>
      <c r="M2816" s="2"/>
    </row>
    <row r="2817" spans="1:13" ht="12.75">
      <c r="A2817" s="2" t="s">
        <v>10</v>
      </c>
      <c r="B2817" s="42"/>
      <c r="C2817" s="11"/>
      <c r="D2817" s="11"/>
      <c r="E2817" s="11">
        <f>SUM(E2814:E2816)</f>
        <v>462709.41</v>
      </c>
      <c r="F2817" s="37"/>
      <c r="G2817" s="37">
        <f>SUM(G2814:G2816)</f>
        <v>107041.29</v>
      </c>
      <c r="H2817" s="2"/>
      <c r="I2817" s="2">
        <f>SUM(I2814:I2816)</f>
        <v>107964.63</v>
      </c>
      <c r="J2817" s="2"/>
      <c r="K2817" s="2">
        <f>SUM(K2814:K2816)</f>
        <v>127491.73</v>
      </c>
      <c r="L2817" s="2"/>
      <c r="M2817" s="2">
        <f>SUM(M2814:M2816)</f>
        <v>120211.76</v>
      </c>
    </row>
    <row r="2818" spans="1:13" ht="21.75">
      <c r="A2818" s="35" t="s">
        <v>82</v>
      </c>
      <c r="B2818" s="4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</row>
    <row r="2819" spans="1:13" ht="12.75">
      <c r="A2819" s="43" t="s">
        <v>11</v>
      </c>
      <c r="B2819" s="44"/>
      <c r="C2819" s="45"/>
      <c r="D2819" s="45"/>
      <c r="E2819" s="45">
        <f>G2819+I2819+K2819+M2819</f>
        <v>124304.762668</v>
      </c>
      <c r="F2819" s="45"/>
      <c r="G2819" s="45">
        <f>7.99407*C2812</f>
        <v>30462.842667599998</v>
      </c>
      <c r="H2819" s="2"/>
      <c r="I2819" s="7">
        <f>9.57707*C2812</f>
        <v>36495.1491076</v>
      </c>
      <c r="J2819" s="2"/>
      <c r="K2819" s="7">
        <f>7.32829*C2812</f>
        <v>27925.768137199997</v>
      </c>
      <c r="L2819" s="2"/>
      <c r="M2819" s="7">
        <f>7.72067*C2812</f>
        <v>29421.0027556</v>
      </c>
    </row>
    <row r="2820" spans="1:13" ht="12.75">
      <c r="A2820" s="43" t="s">
        <v>12</v>
      </c>
      <c r="B2820" s="46"/>
      <c r="C2820" s="7"/>
      <c r="D2820" s="7"/>
      <c r="E2820" s="7">
        <f aca="true" t="shared" si="50" ref="E2820:E2864">G2820+I2820+K2820+M2820</f>
        <v>0</v>
      </c>
      <c r="F2820" s="7"/>
      <c r="G2820" s="7"/>
      <c r="H2820" s="2"/>
      <c r="I2820" s="7"/>
      <c r="J2820" s="2"/>
      <c r="K2820" s="7"/>
      <c r="L2820" s="2"/>
      <c r="M2820" s="7"/>
    </row>
    <row r="2821" spans="1:13" ht="12.75">
      <c r="A2821" s="41" t="s">
        <v>13</v>
      </c>
      <c r="B2821" s="46"/>
      <c r="C2821" s="7"/>
      <c r="D2821" s="7"/>
      <c r="E2821" s="45">
        <f t="shared" si="50"/>
        <v>152434.5892888</v>
      </c>
      <c r="F2821" s="45"/>
      <c r="G2821" s="45">
        <f>G2822+G2824+G2825+G2826+G2827+G2828+G2829+G2830+G2831+G2832+G2833</f>
        <v>37180.234055600005</v>
      </c>
      <c r="H2821" s="2"/>
      <c r="I2821" s="7">
        <f>I2822+I2824+I2825+I2826+I2827+I2828+I2829+I2830+I2831+I2832+I2833</f>
        <v>40303.1692132</v>
      </c>
      <c r="J2821" s="2"/>
      <c r="K2821" s="7">
        <f>K2822+K2824+K2825+K2826+K2827+K2828+K2829+K2830+K2831+K2832+K2833</f>
        <v>42818.9435</v>
      </c>
      <c r="L2821" s="2"/>
      <c r="M2821" s="7">
        <f>M2822+M2824+M2825+M2826+M2827+M2828+M2829+M2830+M2831+M2832+M2833</f>
        <v>32132.24252</v>
      </c>
    </row>
    <row r="2822" spans="1:13" ht="12.75">
      <c r="A2822" s="47" t="s">
        <v>14</v>
      </c>
      <c r="B2822" s="46"/>
      <c r="C2822" s="71"/>
      <c r="D2822" s="7"/>
      <c r="E2822" s="7">
        <f t="shared" si="50"/>
        <v>134410</v>
      </c>
      <c r="F2822" s="7"/>
      <c r="G2822" s="7">
        <v>34745</v>
      </c>
      <c r="H2822" s="2"/>
      <c r="I2822" s="7">
        <v>33618</v>
      </c>
      <c r="J2822" s="2"/>
      <c r="K2822" s="7">
        <v>35284</v>
      </c>
      <c r="L2822" s="2"/>
      <c r="M2822" s="7">
        <v>30763</v>
      </c>
    </row>
    <row r="2823" spans="1:13" ht="12.75">
      <c r="A2823" s="41" t="s">
        <v>19</v>
      </c>
      <c r="B2823" s="46"/>
      <c r="C2823" s="71"/>
      <c r="D2823" s="7"/>
      <c r="E2823" s="7">
        <f t="shared" si="50"/>
        <v>88112</v>
      </c>
      <c r="F2823" s="7"/>
      <c r="G2823" s="7">
        <v>22039</v>
      </c>
      <c r="H2823" s="2"/>
      <c r="I2823" s="7">
        <v>22039</v>
      </c>
      <c r="J2823" s="2"/>
      <c r="K2823" s="7">
        <v>22017</v>
      </c>
      <c r="L2823" s="2"/>
      <c r="M2823" s="7">
        <v>22017</v>
      </c>
    </row>
    <row r="2824" spans="1:13" ht="12.75">
      <c r="A2824" s="41" t="s">
        <v>18</v>
      </c>
      <c r="B2824" s="46"/>
      <c r="C2824" s="7"/>
      <c r="D2824" s="7"/>
      <c r="E2824" s="7">
        <f t="shared" si="50"/>
        <v>1416.53</v>
      </c>
      <c r="F2824" s="7"/>
      <c r="G2824" s="7">
        <v>222.12</v>
      </c>
      <c r="H2824" s="2"/>
      <c r="I2824" s="7">
        <v>312.61</v>
      </c>
      <c r="J2824" s="2"/>
      <c r="K2824" s="7">
        <v>423.31</v>
      </c>
      <c r="L2824" s="2"/>
      <c r="M2824" s="7">
        <v>458.49</v>
      </c>
    </row>
    <row r="2825" spans="1:13" ht="12.75">
      <c r="A2825" s="41" t="s">
        <v>53</v>
      </c>
      <c r="B2825" s="46"/>
      <c r="C2825" s="7"/>
      <c r="D2825" s="7"/>
      <c r="E2825" s="7">
        <f t="shared" si="50"/>
        <v>9302.7048808</v>
      </c>
      <c r="F2825" s="7"/>
      <c r="G2825" s="7">
        <f>0.54857*C2812</f>
        <v>2090.4247276</v>
      </c>
      <c r="H2825" s="2"/>
      <c r="I2825" s="7">
        <f>0.53049*C2812</f>
        <v>2021.5276332</v>
      </c>
      <c r="J2825" s="2"/>
      <c r="K2825" s="7">
        <v>4280</v>
      </c>
      <c r="L2825" s="2"/>
      <c r="M2825" s="7">
        <f>0.239*C2812</f>
        <v>910.7525199999999</v>
      </c>
    </row>
    <row r="2826" spans="1:13" ht="12.75">
      <c r="A2826" s="41" t="s">
        <v>148</v>
      </c>
      <c r="B2826" s="46"/>
      <c r="C2826" s="7"/>
      <c r="D2826" s="7"/>
      <c r="E2826" s="7">
        <f t="shared" si="50"/>
        <v>748</v>
      </c>
      <c r="F2826" s="7"/>
      <c r="G2826" s="7">
        <v>48</v>
      </c>
      <c r="H2826" s="2"/>
      <c r="I2826" s="7">
        <v>300</v>
      </c>
      <c r="J2826" s="2"/>
      <c r="K2826" s="7">
        <v>400</v>
      </c>
      <c r="L2826" s="2"/>
      <c r="M2826" s="7"/>
    </row>
    <row r="2827" spans="1:13" ht="12.75">
      <c r="A2827" s="41" t="s">
        <v>27</v>
      </c>
      <c r="B2827" s="46"/>
      <c r="C2827" s="7"/>
      <c r="D2827" s="7"/>
      <c r="E2827" s="7">
        <f t="shared" si="50"/>
        <v>420</v>
      </c>
      <c r="F2827" s="7"/>
      <c r="G2827" s="7"/>
      <c r="H2827" s="2"/>
      <c r="I2827" s="7">
        <v>420</v>
      </c>
      <c r="J2827" s="2"/>
      <c r="K2827" s="7"/>
      <c r="L2827" s="2"/>
      <c r="M2827" s="7"/>
    </row>
    <row r="2828" spans="1:13" ht="12.75">
      <c r="A2828" s="41" t="s">
        <v>36</v>
      </c>
      <c r="B2828" s="46"/>
      <c r="C2828" s="7"/>
      <c r="D2828" s="7"/>
      <c r="E2828" s="7">
        <f t="shared" si="50"/>
        <v>2384</v>
      </c>
      <c r="F2828" s="7"/>
      <c r="G2828" s="7"/>
      <c r="H2828" s="2"/>
      <c r="I2828" s="7"/>
      <c r="J2828" s="2" t="s">
        <v>365</v>
      </c>
      <c r="K2828" s="7">
        <v>2384</v>
      </c>
      <c r="L2828" s="2"/>
      <c r="M2828" s="7"/>
    </row>
    <row r="2829" spans="1:13" ht="12.75">
      <c r="A2829" s="41" t="s">
        <v>58</v>
      </c>
      <c r="B2829" s="46"/>
      <c r="C2829" s="7"/>
      <c r="D2829" s="7"/>
      <c r="E2829" s="7">
        <f t="shared" si="50"/>
        <v>0</v>
      </c>
      <c r="F2829" s="7"/>
      <c r="G2829" s="7"/>
      <c r="H2829" s="2"/>
      <c r="I2829" s="7"/>
      <c r="J2829" s="2"/>
      <c r="K2829" s="7"/>
      <c r="L2829" s="2"/>
      <c r="M2829" s="7"/>
    </row>
    <row r="2830" spans="1:13" ht="12.75">
      <c r="A2830" s="41" t="s">
        <v>248</v>
      </c>
      <c r="B2830" s="46"/>
      <c r="C2830" s="7"/>
      <c r="D2830" s="7"/>
      <c r="E2830" s="7">
        <f t="shared" si="50"/>
        <v>1485</v>
      </c>
      <c r="F2830" s="7"/>
      <c r="G2830" s="7"/>
      <c r="H2830" s="2"/>
      <c r="I2830" s="7">
        <v>1485</v>
      </c>
      <c r="J2830" s="2"/>
      <c r="K2830" s="7"/>
      <c r="L2830" s="2"/>
      <c r="M2830" s="7"/>
    </row>
    <row r="2831" spans="1:13" ht="12.75">
      <c r="A2831" s="41" t="s">
        <v>30</v>
      </c>
      <c r="B2831" s="46"/>
      <c r="C2831" s="7"/>
      <c r="D2831" s="7"/>
      <c r="E2831" s="7">
        <f t="shared" si="50"/>
        <v>1885</v>
      </c>
      <c r="F2831" s="7"/>
      <c r="G2831" s="7"/>
      <c r="H2831" s="2"/>
      <c r="I2831" s="7">
        <v>1885</v>
      </c>
      <c r="J2831" s="2"/>
      <c r="K2831" s="7"/>
      <c r="L2831" s="2"/>
      <c r="M2831" s="7"/>
    </row>
    <row r="2832" spans="1:13" ht="12.75">
      <c r="A2832" s="41" t="s">
        <v>54</v>
      </c>
      <c r="B2832" s="46"/>
      <c r="C2832" s="7"/>
      <c r="D2832" s="7"/>
      <c r="E2832" s="7">
        <f t="shared" si="50"/>
        <v>74.68932799999999</v>
      </c>
      <c r="F2832" s="7"/>
      <c r="G2832" s="7">
        <f>0.0196*C2812</f>
        <v>74.68932799999999</v>
      </c>
      <c r="H2832" s="2"/>
      <c r="I2832" s="7"/>
      <c r="J2832" s="2"/>
      <c r="K2832" s="7"/>
      <c r="L2832" s="2"/>
      <c r="M2832" s="7"/>
    </row>
    <row r="2833" spans="1:13" ht="13.5" thickBot="1">
      <c r="A2833" s="48" t="s">
        <v>55</v>
      </c>
      <c r="B2833" s="49"/>
      <c r="C2833" s="50"/>
      <c r="D2833" s="50"/>
      <c r="E2833" s="50">
        <f t="shared" si="50"/>
        <v>308.66508</v>
      </c>
      <c r="F2833" s="50"/>
      <c r="G2833" s="50"/>
      <c r="H2833" s="22"/>
      <c r="I2833" s="50">
        <f>0.0685*C2812</f>
        <v>261.03158</v>
      </c>
      <c r="J2833" s="22"/>
      <c r="K2833" s="50">
        <f>0.0125*C2812</f>
        <v>47.6335</v>
      </c>
      <c r="L2833" s="22"/>
      <c r="M2833" s="50"/>
    </row>
    <row r="2834" spans="1:13" ht="13.5" thickBot="1">
      <c r="A2834" s="51" t="s">
        <v>76</v>
      </c>
      <c r="B2834" s="81"/>
      <c r="C2834" s="63"/>
      <c r="D2834" s="63"/>
      <c r="E2834" s="63">
        <f t="shared" si="50"/>
        <v>276739.3519568</v>
      </c>
      <c r="F2834" s="63"/>
      <c r="G2834" s="63">
        <f>G2819+G2821</f>
        <v>67643.0767232</v>
      </c>
      <c r="H2834" s="26"/>
      <c r="I2834" s="63">
        <f>I2819+I2821</f>
        <v>76798.3183208</v>
      </c>
      <c r="J2834" s="26"/>
      <c r="K2834" s="63">
        <f>K2819+K2821</f>
        <v>70744.7116372</v>
      </c>
      <c r="L2834" s="26"/>
      <c r="M2834" s="29">
        <f>M2819+M2821</f>
        <v>61553.2452756</v>
      </c>
    </row>
    <row r="2835" spans="1:13" ht="21.75">
      <c r="A2835" s="54" t="s">
        <v>15</v>
      </c>
      <c r="B2835" s="55"/>
      <c r="C2835" s="66"/>
      <c r="D2835" s="66"/>
      <c r="E2835" s="56">
        <f t="shared" si="50"/>
        <v>0</v>
      </c>
      <c r="F2835" s="66"/>
      <c r="G2835" s="56"/>
      <c r="H2835" s="74"/>
      <c r="I2835" s="56"/>
      <c r="J2835" s="74"/>
      <c r="K2835" s="56"/>
      <c r="L2835" s="74"/>
      <c r="M2835" s="56"/>
    </row>
    <row r="2836" spans="1:13" ht="12.75">
      <c r="A2836" s="41" t="s">
        <v>17</v>
      </c>
      <c r="B2836" s="46"/>
      <c r="C2836" s="7"/>
      <c r="D2836" s="7"/>
      <c r="E2836" s="7">
        <f t="shared" si="50"/>
        <v>107733.6777268</v>
      </c>
      <c r="F2836" s="7"/>
      <c r="G2836" s="7">
        <f>6.73321*C2812</f>
        <v>25658.108682799997</v>
      </c>
      <c r="H2836" s="2"/>
      <c r="I2836" s="7">
        <f>7.02207*C2812</f>
        <v>26758.8617076</v>
      </c>
      <c r="J2836" s="2"/>
      <c r="K2836" s="7">
        <f>7.2754*C2812</f>
        <v>27724.221272</v>
      </c>
      <c r="L2836" s="2"/>
      <c r="M2836" s="7">
        <f>7.24083*C2812</f>
        <v>27592.4860644</v>
      </c>
    </row>
    <row r="2837" spans="1:13" ht="12.75">
      <c r="A2837" s="41" t="s">
        <v>441</v>
      </c>
      <c r="B2837" s="46"/>
      <c r="C2837" s="71"/>
      <c r="D2837" s="7"/>
      <c r="E2837" s="7">
        <f t="shared" si="50"/>
        <v>1516</v>
      </c>
      <c r="F2837" s="7"/>
      <c r="G2837" s="7">
        <v>1180</v>
      </c>
      <c r="H2837" s="2"/>
      <c r="I2837" s="7"/>
      <c r="J2837" s="2"/>
      <c r="K2837" s="7"/>
      <c r="L2837" s="2"/>
      <c r="M2837" s="7">
        <v>336</v>
      </c>
    </row>
    <row r="2838" spans="1:13" ht="12.75">
      <c r="A2838" s="41" t="s">
        <v>67</v>
      </c>
      <c r="B2838" s="46"/>
      <c r="C2838" s="7"/>
      <c r="D2838" s="7"/>
      <c r="E2838" s="7">
        <f t="shared" si="50"/>
        <v>32825</v>
      </c>
      <c r="F2838" s="7"/>
      <c r="G2838" s="7">
        <v>12370</v>
      </c>
      <c r="H2838" s="2"/>
      <c r="I2838" s="7">
        <v>9660</v>
      </c>
      <c r="J2838" s="2"/>
      <c r="K2838" s="7">
        <v>7922</v>
      </c>
      <c r="L2838" s="2"/>
      <c r="M2838" s="7">
        <v>2873</v>
      </c>
    </row>
    <row r="2839" spans="1:13" ht="12.75">
      <c r="A2839" s="41" t="s">
        <v>68</v>
      </c>
      <c r="B2839" s="46"/>
      <c r="C2839" s="7"/>
      <c r="D2839" s="7"/>
      <c r="E2839" s="7">
        <f t="shared" si="50"/>
        <v>0</v>
      </c>
      <c r="F2839" s="7"/>
      <c r="G2839" s="7"/>
      <c r="H2839" s="2"/>
      <c r="I2839" s="7"/>
      <c r="J2839" s="2"/>
      <c r="K2839" s="7"/>
      <c r="L2839" s="2"/>
      <c r="M2839" s="7"/>
    </row>
    <row r="2840" spans="1:13" ht="12.75">
      <c r="A2840" s="41" t="s">
        <v>69</v>
      </c>
      <c r="B2840" s="46"/>
      <c r="C2840" s="7"/>
      <c r="D2840" s="7"/>
      <c r="E2840" s="7">
        <f t="shared" si="50"/>
        <v>592</v>
      </c>
      <c r="F2840" s="7"/>
      <c r="G2840" s="7">
        <v>592</v>
      </c>
      <c r="H2840" s="2"/>
      <c r="I2840" s="7"/>
      <c r="J2840" s="2"/>
      <c r="K2840" s="7"/>
      <c r="L2840" s="2"/>
      <c r="M2840" s="7"/>
    </row>
    <row r="2841" spans="1:13" ht="12.75">
      <c r="A2841" s="41" t="s">
        <v>26</v>
      </c>
      <c r="B2841" s="46"/>
      <c r="C2841" s="7"/>
      <c r="D2841" s="7"/>
      <c r="E2841" s="7">
        <f t="shared" si="50"/>
        <v>2495</v>
      </c>
      <c r="F2841" s="7"/>
      <c r="G2841" s="7"/>
      <c r="H2841" s="2"/>
      <c r="I2841" s="7"/>
      <c r="J2841" s="2"/>
      <c r="K2841" s="7"/>
      <c r="L2841" s="2"/>
      <c r="M2841" s="7">
        <v>2495</v>
      </c>
    </row>
    <row r="2842" spans="1:13" ht="12.75">
      <c r="A2842" s="41" t="s">
        <v>28</v>
      </c>
      <c r="B2842" s="46"/>
      <c r="C2842" s="7"/>
      <c r="D2842" s="7"/>
      <c r="E2842" s="7">
        <f t="shared" si="50"/>
        <v>1115</v>
      </c>
      <c r="F2842" s="7"/>
      <c r="G2842" s="7"/>
      <c r="H2842" s="2"/>
      <c r="I2842" s="7"/>
      <c r="J2842" s="2"/>
      <c r="K2842" s="7"/>
      <c r="L2842" s="2"/>
      <c r="M2842" s="7">
        <v>1115</v>
      </c>
    </row>
    <row r="2843" spans="1:13" ht="12.75">
      <c r="A2843" s="41" t="s">
        <v>359</v>
      </c>
      <c r="B2843" s="46"/>
      <c r="C2843" s="7"/>
      <c r="D2843" s="7"/>
      <c r="E2843" s="7">
        <f t="shared" si="50"/>
        <v>210</v>
      </c>
      <c r="F2843" s="7"/>
      <c r="G2843" s="7"/>
      <c r="H2843" s="2"/>
      <c r="I2843" s="7"/>
      <c r="J2843" s="2"/>
      <c r="K2843" s="7">
        <v>210</v>
      </c>
      <c r="L2843" s="2"/>
      <c r="M2843" s="7"/>
    </row>
    <row r="2844" spans="1:13" ht="12.75">
      <c r="A2844" s="41" t="s">
        <v>150</v>
      </c>
      <c r="B2844" s="46"/>
      <c r="C2844" s="7"/>
      <c r="D2844" s="7"/>
      <c r="E2844" s="7">
        <f t="shared" si="50"/>
        <v>90</v>
      </c>
      <c r="F2844" s="7"/>
      <c r="G2844" s="7"/>
      <c r="H2844" s="2"/>
      <c r="I2844" s="7">
        <v>90</v>
      </c>
      <c r="J2844" s="2"/>
      <c r="K2844" s="7"/>
      <c r="L2844" s="2"/>
      <c r="M2844" s="7"/>
    </row>
    <row r="2845" spans="1:13" ht="12.75">
      <c r="A2845" s="41" t="s">
        <v>62</v>
      </c>
      <c r="B2845" s="46"/>
      <c r="C2845" s="7"/>
      <c r="D2845" s="7"/>
      <c r="E2845" s="7">
        <f t="shared" si="50"/>
        <v>0</v>
      </c>
      <c r="F2845" s="7"/>
      <c r="G2845" s="7"/>
      <c r="H2845" s="2"/>
      <c r="I2845" s="7"/>
      <c r="J2845" s="2"/>
      <c r="K2845" s="7"/>
      <c r="L2845" s="2"/>
      <c r="M2845" s="7"/>
    </row>
    <row r="2846" spans="1:13" ht="12.75">
      <c r="A2846" s="41" t="s">
        <v>63</v>
      </c>
      <c r="B2846" s="46"/>
      <c r="C2846" s="7"/>
      <c r="D2846" s="7"/>
      <c r="E2846" s="7">
        <f t="shared" si="50"/>
        <v>0</v>
      </c>
      <c r="F2846" s="7"/>
      <c r="G2846" s="7"/>
      <c r="H2846" s="2"/>
      <c r="I2846" s="7"/>
      <c r="J2846" s="2"/>
      <c r="K2846" s="7"/>
      <c r="L2846" s="2"/>
      <c r="M2846" s="7"/>
    </row>
    <row r="2847" spans="1:13" ht="12.75">
      <c r="A2847" s="41" t="s">
        <v>66</v>
      </c>
      <c r="B2847" s="46"/>
      <c r="C2847" s="7"/>
      <c r="D2847" s="7"/>
      <c r="E2847" s="7">
        <f t="shared" si="50"/>
        <v>0</v>
      </c>
      <c r="F2847" s="7"/>
      <c r="G2847" s="7"/>
      <c r="H2847" s="2"/>
      <c r="I2847" s="7"/>
      <c r="J2847" s="2"/>
      <c r="K2847" s="7"/>
      <c r="L2847" s="2"/>
      <c r="M2847" s="7"/>
    </row>
    <row r="2848" spans="1:13" ht="12.75">
      <c r="A2848" s="41" t="s">
        <v>51</v>
      </c>
      <c r="B2848" s="46"/>
      <c r="C2848" s="7"/>
      <c r="D2848" s="7"/>
      <c r="E2848" s="7">
        <f t="shared" si="50"/>
        <v>3366</v>
      </c>
      <c r="F2848" s="7"/>
      <c r="G2848" s="7"/>
      <c r="H2848" s="2"/>
      <c r="I2848" s="7">
        <v>3366</v>
      </c>
      <c r="J2848" s="2"/>
      <c r="K2848" s="7"/>
      <c r="L2848" s="2"/>
      <c r="M2848" s="7"/>
    </row>
    <row r="2849" spans="1:13" ht="12.75">
      <c r="A2849" s="58" t="s">
        <v>52</v>
      </c>
      <c r="B2849" s="46"/>
      <c r="C2849" s="7"/>
      <c r="D2849" s="7"/>
      <c r="E2849" s="7">
        <f t="shared" si="50"/>
        <v>0</v>
      </c>
      <c r="F2849" s="7"/>
      <c r="G2849" s="7"/>
      <c r="H2849" s="2"/>
      <c r="I2849" s="7"/>
      <c r="J2849" s="2"/>
      <c r="K2849" s="7"/>
      <c r="L2849" s="2"/>
      <c r="M2849" s="7"/>
    </row>
    <row r="2850" spans="1:13" ht="12.75">
      <c r="A2850" s="41" t="s">
        <v>273</v>
      </c>
      <c r="B2850" s="46"/>
      <c r="C2850" s="7"/>
      <c r="D2850" s="7"/>
      <c r="E2850" s="7">
        <f t="shared" si="50"/>
        <v>1303</v>
      </c>
      <c r="F2850" s="7"/>
      <c r="G2850" s="7"/>
      <c r="H2850" s="2"/>
      <c r="I2850" s="7">
        <v>1303</v>
      </c>
      <c r="J2850" s="2"/>
      <c r="K2850" s="7"/>
      <c r="L2850" s="2"/>
      <c r="M2850" s="7"/>
    </row>
    <row r="2851" spans="1:13" ht="12.75">
      <c r="A2851" s="41" t="s">
        <v>361</v>
      </c>
      <c r="B2851" s="46"/>
      <c r="C2851" s="7"/>
      <c r="D2851" s="7"/>
      <c r="E2851" s="7">
        <f t="shared" si="50"/>
        <v>8000</v>
      </c>
      <c r="F2851" s="7"/>
      <c r="G2851" s="7"/>
      <c r="H2851" s="2"/>
      <c r="I2851" s="7"/>
      <c r="J2851" s="2"/>
      <c r="K2851" s="7">
        <v>8000</v>
      </c>
      <c r="L2851" s="2"/>
      <c r="M2851" s="7"/>
    </row>
    <row r="2852" spans="1:13" ht="12.75">
      <c r="A2852" s="41" t="s">
        <v>57</v>
      </c>
      <c r="B2852" s="46"/>
      <c r="C2852" s="7"/>
      <c r="D2852" s="7"/>
      <c r="E2852" s="7">
        <f t="shared" si="50"/>
        <v>9427.055828</v>
      </c>
      <c r="F2852" s="7" t="s">
        <v>166</v>
      </c>
      <c r="G2852" s="7">
        <v>9400</v>
      </c>
      <c r="H2852" s="2"/>
      <c r="I2852" s="7">
        <f>0.0071*C2812</f>
        <v>27.055828</v>
      </c>
      <c r="J2852" s="2"/>
      <c r="K2852" s="7"/>
      <c r="L2852" s="2"/>
      <c r="M2852" s="7"/>
    </row>
    <row r="2853" spans="1:13" ht="12.75">
      <c r="A2853" s="41" t="s">
        <v>33</v>
      </c>
      <c r="B2853" s="46"/>
      <c r="C2853" s="7"/>
      <c r="D2853" s="7"/>
      <c r="E2853" s="7">
        <f t="shared" si="50"/>
        <v>1237</v>
      </c>
      <c r="F2853" s="15"/>
      <c r="G2853" s="7"/>
      <c r="H2853" s="2"/>
      <c r="I2853" s="7"/>
      <c r="J2853" s="2"/>
      <c r="K2853" s="7"/>
      <c r="L2853" s="2"/>
      <c r="M2853" s="7">
        <v>1237</v>
      </c>
    </row>
    <row r="2854" spans="1:13" ht="12.75">
      <c r="A2854" s="41" t="s">
        <v>50</v>
      </c>
      <c r="B2854" s="46"/>
      <c r="C2854" s="7"/>
      <c r="D2854" s="7"/>
      <c r="E2854" s="7">
        <f t="shared" si="50"/>
        <v>4178.029552</v>
      </c>
      <c r="F2854" s="7"/>
      <c r="G2854" s="7">
        <f>0.2455*C2812</f>
        <v>935.52194</v>
      </c>
      <c r="H2854" s="2"/>
      <c r="I2854" s="7">
        <f>0.5802*C2812</f>
        <v>2210.956536</v>
      </c>
      <c r="J2854" s="2"/>
      <c r="K2854" s="7">
        <f>0.1437*C2812</f>
        <v>547.594716</v>
      </c>
      <c r="L2854" s="2"/>
      <c r="M2854" s="7">
        <f>0.127*C2812</f>
        <v>483.95635999999996</v>
      </c>
    </row>
    <row r="2855" spans="1:13" ht="13.5" thickBot="1">
      <c r="A2855" s="48" t="s">
        <v>54</v>
      </c>
      <c r="B2855" s="49"/>
      <c r="C2855" s="50"/>
      <c r="D2855" s="50"/>
      <c r="E2855" s="50">
        <f t="shared" si="50"/>
        <v>117.368944</v>
      </c>
      <c r="F2855" s="50"/>
      <c r="G2855" s="50"/>
      <c r="H2855" s="22"/>
      <c r="I2855" s="50">
        <f>0.0078*C2812</f>
        <v>29.723304</v>
      </c>
      <c r="J2855" s="22"/>
      <c r="K2855" s="50">
        <f>0.011*C2812</f>
        <v>41.91748</v>
      </c>
      <c r="L2855" s="22"/>
      <c r="M2855" s="50">
        <f>0.012*C2812</f>
        <v>45.728159999999995</v>
      </c>
    </row>
    <row r="2856" spans="1:13" ht="13.5" thickBot="1">
      <c r="A2856" s="59" t="s">
        <v>10</v>
      </c>
      <c r="B2856" s="81"/>
      <c r="C2856" s="63"/>
      <c r="D2856" s="63"/>
      <c r="E2856" s="63">
        <f t="shared" si="50"/>
        <v>174205.13205079996</v>
      </c>
      <c r="F2856" s="63"/>
      <c r="G2856" s="63">
        <f>SUM(G2836:G2855)</f>
        <v>50135.630622799996</v>
      </c>
      <c r="H2856" s="26"/>
      <c r="I2856" s="63">
        <f>SUM(I2836:I2855)</f>
        <v>43445.597375599995</v>
      </c>
      <c r="J2856" s="26"/>
      <c r="K2856" s="63">
        <f>SUM(K2836:K2855)</f>
        <v>44445.73346799999</v>
      </c>
      <c r="L2856" s="26"/>
      <c r="M2856" s="29">
        <f>SUM(M2836:M2855)</f>
        <v>36178.170584399995</v>
      </c>
    </row>
    <row r="2857" spans="1:13" ht="12.75">
      <c r="A2857" s="60" t="s">
        <v>42</v>
      </c>
      <c r="B2857" s="55"/>
      <c r="C2857" s="66"/>
      <c r="D2857" s="66"/>
      <c r="E2857" s="56">
        <f t="shared" si="50"/>
        <v>0</v>
      </c>
      <c r="F2857" s="66"/>
      <c r="G2857" s="56"/>
      <c r="H2857" s="74"/>
      <c r="I2857" s="56"/>
      <c r="J2857" s="74"/>
      <c r="K2857" s="56"/>
      <c r="L2857" s="74"/>
      <c r="M2857" s="56"/>
    </row>
    <row r="2858" spans="1:13" ht="12.75">
      <c r="A2858" s="138" t="s">
        <v>437</v>
      </c>
      <c r="B2858" s="55"/>
      <c r="C2858" s="66"/>
      <c r="D2858" s="66"/>
      <c r="E2858" s="56">
        <f t="shared" si="50"/>
        <v>267.2</v>
      </c>
      <c r="F2858" s="66"/>
      <c r="G2858" s="56"/>
      <c r="H2858" s="74"/>
      <c r="I2858" s="56"/>
      <c r="J2858" s="74"/>
      <c r="K2858" s="56"/>
      <c r="L2858" s="74"/>
      <c r="M2858" s="56">
        <v>267.2</v>
      </c>
    </row>
    <row r="2859" spans="1:13" ht="12.75">
      <c r="A2859" s="41" t="s">
        <v>56</v>
      </c>
      <c r="B2859" s="46"/>
      <c r="C2859" s="7"/>
      <c r="D2859" s="7"/>
      <c r="E2859" s="56">
        <f t="shared" si="50"/>
        <v>0</v>
      </c>
      <c r="F2859" s="7"/>
      <c r="G2859" s="7"/>
      <c r="H2859" s="2"/>
      <c r="I2859" s="7"/>
      <c r="J2859" s="2"/>
      <c r="K2859" s="7"/>
      <c r="L2859" s="2"/>
      <c r="M2859" s="7"/>
    </row>
    <row r="2860" spans="1:13" ht="12.75">
      <c r="A2860" s="41" t="s">
        <v>156</v>
      </c>
      <c r="B2860" s="46"/>
      <c r="C2860" s="7"/>
      <c r="D2860" s="7"/>
      <c r="E2860" s="7">
        <f t="shared" si="50"/>
        <v>480</v>
      </c>
      <c r="F2860" s="7"/>
      <c r="G2860" s="7">
        <v>480</v>
      </c>
      <c r="H2860" s="2"/>
      <c r="I2860" s="7"/>
      <c r="J2860" s="2"/>
      <c r="K2860" s="7"/>
      <c r="L2860" s="2"/>
      <c r="M2860" s="7"/>
    </row>
    <row r="2861" spans="1:13" ht="13.5" thickBot="1">
      <c r="A2861" s="48" t="s">
        <v>16</v>
      </c>
      <c r="B2861" s="49"/>
      <c r="C2861" s="50"/>
      <c r="D2861" s="50"/>
      <c r="E2861" s="50">
        <f t="shared" si="50"/>
        <v>136.04127599999998</v>
      </c>
      <c r="F2861" s="50"/>
      <c r="G2861" s="50">
        <f>0.0089*C2812</f>
        <v>33.915051999999996</v>
      </c>
      <c r="H2861" s="22"/>
      <c r="I2861" s="50"/>
      <c r="J2861" s="22"/>
      <c r="K2861" s="50"/>
      <c r="L2861" s="22"/>
      <c r="M2861" s="50">
        <f>0.0268*C2812</f>
        <v>102.126224</v>
      </c>
    </row>
    <row r="2862" spans="1:13" ht="13.5" thickBot="1">
      <c r="A2862" s="62" t="s">
        <v>10</v>
      </c>
      <c r="B2862" s="81"/>
      <c r="C2862" s="63"/>
      <c r="D2862" s="63"/>
      <c r="E2862" s="63">
        <f t="shared" si="50"/>
        <v>883.241276</v>
      </c>
      <c r="F2862" s="63"/>
      <c r="G2862" s="63">
        <f>SUM(G2859:G2861)</f>
        <v>513.915052</v>
      </c>
      <c r="H2862" s="26"/>
      <c r="I2862" s="63"/>
      <c r="J2862" s="26"/>
      <c r="K2862" s="63"/>
      <c r="L2862" s="26"/>
      <c r="M2862" s="29">
        <f>SUM(M2858:M2861)</f>
        <v>369.32622399999997</v>
      </c>
    </row>
    <row r="2863" spans="1:13" ht="13.5" thickBot="1">
      <c r="A2863" s="64" t="s">
        <v>29</v>
      </c>
      <c r="B2863" s="81"/>
      <c r="C2863" s="63"/>
      <c r="D2863" s="63"/>
      <c r="E2863" s="63">
        <f t="shared" si="50"/>
        <v>8736.746036</v>
      </c>
      <c r="F2863" s="63"/>
      <c r="G2863" s="63">
        <f>0.4236*C2812</f>
        <v>1614.2040479999998</v>
      </c>
      <c r="H2863" s="26"/>
      <c r="I2863" s="63">
        <f>0.5971*C2812</f>
        <v>2275.357028</v>
      </c>
      <c r="J2863" s="26"/>
      <c r="K2863" s="63"/>
      <c r="L2863" s="26"/>
      <c r="M2863" s="29">
        <f>1.272*C2812</f>
        <v>4847.18496</v>
      </c>
    </row>
    <row r="2864" spans="1:13" ht="21.75">
      <c r="A2864" s="65" t="s">
        <v>83</v>
      </c>
      <c r="B2864" s="61"/>
      <c r="C2864" s="56"/>
      <c r="D2864" s="56"/>
      <c r="E2864" s="56">
        <f t="shared" si="50"/>
        <v>460564.4713196</v>
      </c>
      <c r="F2864" s="56"/>
      <c r="G2864" s="56">
        <f>G2834+G2856+G2862+G2863</f>
        <v>119906.826446</v>
      </c>
      <c r="H2864" s="74"/>
      <c r="I2864" s="56">
        <f>I2834+I2856+I2862+I2863</f>
        <v>122519.27272439998</v>
      </c>
      <c r="J2864" s="74"/>
      <c r="K2864" s="56">
        <f>K2834+K2856+K2862+K2863</f>
        <v>115190.4451052</v>
      </c>
      <c r="L2864" s="74"/>
      <c r="M2864" s="56">
        <f>M2834+M2856+M2862+M2863</f>
        <v>102947.927044</v>
      </c>
    </row>
    <row r="2865" spans="1:13" ht="33.75">
      <c r="A2865" s="67" t="s">
        <v>84</v>
      </c>
      <c r="B2865" s="46"/>
      <c r="C2865" s="7"/>
      <c r="D2865" s="7"/>
      <c r="E2865" s="8">
        <f>E2864/3/C2812</f>
        <v>40.28716408616485</v>
      </c>
      <c r="F2865" s="7"/>
      <c r="G2865" s="8">
        <f>G2864/3/C2812</f>
        <v>10.488664004499636</v>
      </c>
      <c r="H2865" s="2"/>
      <c r="I2865" s="8">
        <f>I2864/3/C2812</f>
        <v>10.717183698132615</v>
      </c>
      <c r="J2865" s="2"/>
      <c r="K2865" s="8">
        <f>K2864/3/C2812</f>
        <v>10.076105848579955</v>
      </c>
      <c r="L2865" s="2"/>
      <c r="M2865" s="8">
        <f>M2864/3/C2812</f>
        <v>9.005210534952642</v>
      </c>
    </row>
    <row r="2866" spans="1:13" ht="12.75">
      <c r="A2866" s="69" t="s">
        <v>20</v>
      </c>
      <c r="B2866" s="44"/>
      <c r="C2866" s="45"/>
      <c r="D2866" s="45"/>
      <c r="E2866" s="7">
        <f>E2817-E2864</f>
        <v>2144.938680399966</v>
      </c>
      <c r="F2866" s="45"/>
      <c r="G2866" s="7">
        <f>G2817-G2864</f>
        <v>-12865.536446000013</v>
      </c>
      <c r="H2866" s="2"/>
      <c r="I2866" s="7">
        <f>I2817-I2864-12866</f>
        <v>-27420.64272439998</v>
      </c>
      <c r="J2866" s="2"/>
      <c r="K2866" s="7">
        <f>K2817-K2864-27421</f>
        <v>-15119.715105199997</v>
      </c>
      <c r="L2866" s="2"/>
      <c r="M2866" s="7">
        <f>M2817-M2864-15120</f>
        <v>2143.8329559999984</v>
      </c>
    </row>
    <row r="2867" spans="1:13" ht="12.75">
      <c r="A2867" s="14" t="s">
        <v>24</v>
      </c>
      <c r="B2867" s="14"/>
      <c r="C2867" s="14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</row>
    <row r="2868" spans="1:13" ht="12.75">
      <c r="A2868" s="14" t="s">
        <v>35</v>
      </c>
      <c r="B2868" s="14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</row>
    <row r="2869" spans="1:13" ht="12.75">
      <c r="A2869" s="14" t="s">
        <v>25</v>
      </c>
      <c r="B2869" s="14"/>
      <c r="C2869" s="14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</row>
    <row r="2870" spans="1:13" ht="12.75">
      <c r="A2870" s="14"/>
      <c r="B2870" s="14"/>
      <c r="C2870" s="14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</row>
    <row r="2871" spans="1:13" ht="12.75">
      <c r="A2871" s="14"/>
      <c r="B2871" s="14"/>
      <c r="C2871" s="14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</row>
    <row r="2872" spans="1:13" ht="12.75">
      <c r="A2872" s="14"/>
      <c r="B2872" s="14"/>
      <c r="C2872" s="14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</row>
    <row r="2873" spans="1:13" ht="12.75">
      <c r="A2873" s="14"/>
      <c r="B2873" s="14"/>
      <c r="C2873" s="14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</row>
    <row r="2874" spans="1:13" ht="12.75">
      <c r="A2874" s="14"/>
      <c r="B2874" s="14"/>
      <c r="C2874" s="14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</row>
    <row r="2875" spans="1:13" ht="12.75">
      <c r="A2875" s="14"/>
      <c r="B2875" s="14"/>
      <c r="C2875" s="14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</row>
    <row r="2876" spans="1:13" ht="12.75">
      <c r="A2876" s="14"/>
      <c r="B2876" s="14"/>
      <c r="C2876" s="14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</row>
    <row r="2877" spans="1:13" ht="12.75">
      <c r="A2877" s="14"/>
      <c r="B2877" s="14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</row>
    <row r="2878" spans="1:13" ht="12.75">
      <c r="A2878" s="14"/>
      <c r="B2878" s="14"/>
      <c r="C2878" s="14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</row>
    <row r="2879" spans="1:13" ht="12.75">
      <c r="A2879" s="14"/>
      <c r="B2879" s="14"/>
      <c r="C2879" s="14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</row>
    <row r="2880" spans="1:13" ht="12.75">
      <c r="A2880" s="14"/>
      <c r="B2880" s="14"/>
      <c r="C2880" s="14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</row>
    <row r="2881" spans="1:13" ht="12.75">
      <c r="A2881" s="14"/>
      <c r="B2881" s="14"/>
      <c r="C2881" s="14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</row>
    <row r="2882" spans="1:13" ht="12.75">
      <c r="A2882" s="14"/>
      <c r="B2882" s="14"/>
      <c r="C2882" s="14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</row>
    <row r="2883" spans="1:13" ht="12.75">
      <c r="A2883" s="14"/>
      <c r="B2883" s="14"/>
      <c r="C2883" s="14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</row>
    <row r="2884" spans="1:13" ht="12.75">
      <c r="A2884" s="14"/>
      <c r="B2884" s="14"/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</row>
    <row r="2885" spans="1:13" ht="12.75">
      <c r="A2885" s="14"/>
      <c r="B2885" s="14"/>
      <c r="C2885" s="14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</row>
    <row r="2886" spans="1:13" ht="12.75">
      <c r="A2886" s="14"/>
      <c r="B2886" s="14"/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</row>
    <row r="2887" spans="1:13" ht="12.75">
      <c r="A2887" s="14"/>
      <c r="B2887" s="14"/>
      <c r="C2887" s="14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</row>
    <row r="2888" spans="1:13" ht="12" customHeight="1">
      <c r="A2888" s="14"/>
      <c r="B2888" s="14"/>
      <c r="C2888" s="14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</row>
    <row r="2889" spans="1:13" ht="12.75" hidden="1">
      <c r="A2889" s="14"/>
      <c r="B2889" s="14"/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</row>
    <row r="2890" spans="1:13" ht="12.75" hidden="1">
      <c r="A2890" s="14"/>
      <c r="B2890" s="14"/>
      <c r="C2890" s="14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</row>
    <row r="2891" spans="1:13" ht="12.75" hidden="1">
      <c r="A2891" s="14"/>
      <c r="B2891" s="14"/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</row>
    <row r="2892" spans="1:13" ht="12.75" hidden="1">
      <c r="A2892" s="14"/>
      <c r="B2892" s="14"/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</row>
    <row r="2893" spans="1:13" ht="12.75">
      <c r="A2893" s="31" t="s">
        <v>21</v>
      </c>
      <c r="B2893" s="31"/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</row>
    <row r="2894" spans="1:13" ht="12.75">
      <c r="A2894" s="14" t="s">
        <v>31</v>
      </c>
      <c r="B2894" s="14"/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</row>
    <row r="2895" spans="1:13" ht="12.75">
      <c r="A2895" s="14" t="s">
        <v>41</v>
      </c>
      <c r="B2895" s="14"/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</row>
    <row r="2896" spans="1:13" ht="12.75">
      <c r="A2896" s="14" t="s">
        <v>131</v>
      </c>
      <c r="B2896" s="14"/>
      <c r="C2896" s="14"/>
      <c r="D2896" s="14"/>
      <c r="E2896" s="14" t="s">
        <v>32</v>
      </c>
      <c r="F2896" s="14"/>
      <c r="G2896" s="14"/>
      <c r="H2896" s="14"/>
      <c r="I2896" s="14"/>
      <c r="J2896" s="14"/>
      <c r="K2896" s="14"/>
      <c r="L2896" s="14"/>
      <c r="M2896" s="14"/>
    </row>
    <row r="2897" spans="1:13" ht="12.75" customHeight="1">
      <c r="A2897" s="6" t="s">
        <v>0</v>
      </c>
      <c r="B2897" s="151" t="s">
        <v>38</v>
      </c>
      <c r="C2897" s="152"/>
      <c r="D2897" s="149" t="s">
        <v>39</v>
      </c>
      <c r="E2897" s="150"/>
      <c r="F2897" s="149" t="s">
        <v>96</v>
      </c>
      <c r="G2897" s="150"/>
      <c r="H2897" s="149" t="s">
        <v>97</v>
      </c>
      <c r="I2897" s="150"/>
      <c r="J2897" s="149" t="s">
        <v>98</v>
      </c>
      <c r="K2897" s="150"/>
      <c r="L2897" s="149" t="s">
        <v>99</v>
      </c>
      <c r="M2897" s="150"/>
    </row>
    <row r="2898" spans="1:13" ht="12.75">
      <c r="A2898" s="11" t="s">
        <v>5</v>
      </c>
      <c r="B2898" s="153"/>
      <c r="C2898" s="154"/>
      <c r="D2898" s="6" t="s">
        <v>40</v>
      </c>
      <c r="E2898" s="6" t="s">
        <v>22</v>
      </c>
      <c r="F2898" s="6" t="s">
        <v>40</v>
      </c>
      <c r="G2898" s="13" t="s">
        <v>22</v>
      </c>
      <c r="H2898" s="2"/>
      <c r="I2898" s="2"/>
      <c r="J2898" s="2"/>
      <c r="K2898" s="2"/>
      <c r="L2898" s="2"/>
      <c r="M2898" s="2"/>
    </row>
    <row r="2899" spans="1:13" ht="12.75">
      <c r="A2899" s="2" t="s">
        <v>1</v>
      </c>
      <c r="B2899" s="2"/>
      <c r="C2899" s="6">
        <v>5</v>
      </c>
      <c r="D2899" s="2"/>
      <c r="E2899" s="2"/>
      <c r="F2899" s="2"/>
      <c r="G2899" s="2"/>
      <c r="H2899" s="2"/>
      <c r="I2899" s="2"/>
      <c r="J2899" s="2"/>
      <c r="K2899" s="2"/>
      <c r="L2899" s="2"/>
      <c r="M2899" s="2"/>
    </row>
    <row r="2900" spans="1:13" ht="12.75">
      <c r="A2900" s="2" t="s">
        <v>2</v>
      </c>
      <c r="B2900" s="2"/>
      <c r="C2900" s="6">
        <v>4</v>
      </c>
      <c r="D2900" s="2"/>
      <c r="E2900" s="2"/>
      <c r="F2900" s="2"/>
      <c r="G2900" s="2"/>
      <c r="H2900" s="2"/>
      <c r="I2900" s="2"/>
      <c r="J2900" s="2"/>
      <c r="K2900" s="2"/>
      <c r="L2900" s="2"/>
      <c r="M2900" s="2"/>
    </row>
    <row r="2901" spans="1:13" ht="12.75">
      <c r="A2901" s="2" t="s">
        <v>3</v>
      </c>
      <c r="B2901" s="2"/>
      <c r="C2901" s="6">
        <v>80</v>
      </c>
      <c r="D2901" s="2"/>
      <c r="E2901" s="2"/>
      <c r="F2901" s="2"/>
      <c r="G2901" s="2"/>
      <c r="H2901" s="2"/>
      <c r="I2901" s="2"/>
      <c r="J2901" s="2"/>
      <c r="K2901" s="2"/>
      <c r="L2901" s="2"/>
      <c r="M2901" s="2"/>
    </row>
    <row r="2902" spans="1:13" ht="12.75">
      <c r="A2902" s="2" t="s">
        <v>4</v>
      </c>
      <c r="B2902" s="6"/>
      <c r="C2902" s="6">
        <v>3800.09</v>
      </c>
      <c r="D2902" s="6"/>
      <c r="E2902" s="6"/>
      <c r="F2902" s="6"/>
      <c r="G2902" s="2"/>
      <c r="H2902" s="2"/>
      <c r="I2902" s="2"/>
      <c r="J2902" s="2"/>
      <c r="K2902" s="2">
        <v>3799.74</v>
      </c>
      <c r="L2902" s="2"/>
      <c r="M2902" s="2"/>
    </row>
    <row r="2903" spans="1:13" ht="21.75">
      <c r="A2903" s="35" t="s">
        <v>6</v>
      </c>
      <c r="B2903" s="11" t="s">
        <v>40</v>
      </c>
      <c r="C2903" s="2" t="s">
        <v>22</v>
      </c>
      <c r="D2903" s="2"/>
      <c r="E2903" s="2"/>
      <c r="F2903" s="2"/>
      <c r="G2903" s="2"/>
      <c r="H2903" s="2"/>
      <c r="I2903" s="2"/>
      <c r="J2903" s="2"/>
      <c r="K2903" s="2"/>
      <c r="L2903" s="2"/>
      <c r="M2903" s="2"/>
    </row>
    <row r="2904" spans="1:13" ht="22.5">
      <c r="A2904" s="40" t="s">
        <v>7</v>
      </c>
      <c r="B2904" s="3"/>
      <c r="C2904" s="6"/>
      <c r="D2904" s="6"/>
      <c r="E2904" s="6">
        <f>G2904+I2904+K2904+M2904</f>
        <v>380891.29000000004</v>
      </c>
      <c r="F2904" s="2"/>
      <c r="G2904" s="2">
        <v>84819.17</v>
      </c>
      <c r="H2904" s="2"/>
      <c r="I2904" s="2">
        <v>104737.72</v>
      </c>
      <c r="J2904" s="2"/>
      <c r="K2904" s="2">
        <v>100214</v>
      </c>
      <c r="L2904" s="2"/>
      <c r="M2904" s="2">
        <v>91120.4</v>
      </c>
    </row>
    <row r="2905" spans="1:13" ht="12.75">
      <c r="A2905" s="41" t="s">
        <v>8</v>
      </c>
      <c r="B2905" s="3"/>
      <c r="C2905" s="6"/>
      <c r="D2905" s="6"/>
      <c r="E2905" s="6"/>
      <c r="F2905" s="2"/>
      <c r="G2905" s="2"/>
      <c r="H2905" s="2"/>
      <c r="I2905" s="2"/>
      <c r="J2905" s="2"/>
      <c r="K2905" s="2"/>
      <c r="L2905" s="2"/>
      <c r="M2905" s="2"/>
    </row>
    <row r="2906" spans="1:13" ht="12.75">
      <c r="A2906" s="41" t="s">
        <v>9</v>
      </c>
      <c r="B2906" s="3"/>
      <c r="C2906" s="6"/>
      <c r="D2906" s="6"/>
      <c r="E2906" s="6"/>
      <c r="F2906" s="2"/>
      <c r="G2906" s="2"/>
      <c r="H2906" s="2"/>
      <c r="I2906" s="2"/>
      <c r="J2906" s="2"/>
      <c r="K2906" s="2"/>
      <c r="L2906" s="2"/>
      <c r="M2906" s="2"/>
    </row>
    <row r="2907" spans="1:13" ht="12.75">
      <c r="A2907" s="2" t="s">
        <v>10</v>
      </c>
      <c r="B2907" s="42"/>
      <c r="C2907" s="11"/>
      <c r="D2907" s="11"/>
      <c r="E2907" s="11">
        <f>SUM(E2904:E2906)</f>
        <v>380891.29000000004</v>
      </c>
      <c r="F2907" s="37"/>
      <c r="G2907" s="37">
        <f>SUM(G2904:G2906)</f>
        <v>84819.17</v>
      </c>
      <c r="H2907" s="2"/>
      <c r="I2907" s="2">
        <f>SUM(I2904:I2906)</f>
        <v>104737.72</v>
      </c>
      <c r="J2907" s="2"/>
      <c r="K2907" s="2">
        <f>SUM(K2904:K2906)</f>
        <v>100214</v>
      </c>
      <c r="L2907" s="2"/>
      <c r="M2907" s="2">
        <f>SUM(M2904:M2906)</f>
        <v>91120.4</v>
      </c>
    </row>
    <row r="2908" spans="1:13" ht="21.75">
      <c r="A2908" s="35" t="s">
        <v>82</v>
      </c>
      <c r="B2908" s="4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</row>
    <row r="2909" spans="1:13" ht="12.75">
      <c r="A2909" s="43" t="s">
        <v>11</v>
      </c>
      <c r="B2909" s="44"/>
      <c r="C2909" s="45"/>
      <c r="D2909" s="45"/>
      <c r="E2909" s="45">
        <f>G2909+I2909+K2909+M2909</f>
        <v>123954.04867300001</v>
      </c>
      <c r="F2909" s="45"/>
      <c r="G2909" s="45">
        <f>7.99407*C2902</f>
        <v>30378.1854663</v>
      </c>
      <c r="H2909" s="2"/>
      <c r="I2909" s="7">
        <f>9.57707*C2902</f>
        <v>36393.727936300005</v>
      </c>
      <c r="J2909" s="2"/>
      <c r="K2909" s="7">
        <f>7.32829*K2902</f>
        <v>27845.5966446</v>
      </c>
      <c r="L2909" s="2"/>
      <c r="M2909" s="7">
        <f>7.72067*K2902</f>
        <v>29336.5386258</v>
      </c>
    </row>
    <row r="2910" spans="1:13" ht="12.75">
      <c r="A2910" s="43" t="s">
        <v>12</v>
      </c>
      <c r="B2910" s="46"/>
      <c r="C2910" s="7"/>
      <c r="D2910" s="7"/>
      <c r="E2910" s="7">
        <f aca="true" t="shared" si="51" ref="E2910:E2957">G2910+I2910+K2910+M2910</f>
        <v>0</v>
      </c>
      <c r="F2910" s="7"/>
      <c r="G2910" s="7"/>
      <c r="H2910" s="2"/>
      <c r="I2910" s="2"/>
      <c r="J2910" s="2"/>
      <c r="K2910" s="7"/>
      <c r="L2910" s="2"/>
      <c r="M2910" s="7"/>
    </row>
    <row r="2911" spans="1:13" ht="12.75">
      <c r="A2911" s="41" t="s">
        <v>13</v>
      </c>
      <c r="B2911" s="46"/>
      <c r="C2911" s="7"/>
      <c r="D2911" s="7"/>
      <c r="E2911" s="45">
        <f t="shared" si="51"/>
        <v>147306.80765439998</v>
      </c>
      <c r="F2911" s="45"/>
      <c r="G2911" s="45">
        <f>G2912+G2914+G2915+G2916+G2918+G2919+G2920+G2921+G2922+G2923+G2924</f>
        <v>34911.647135299994</v>
      </c>
      <c r="H2911" s="2"/>
      <c r="I2911" s="7">
        <f>I2912+I2914+I2915+I2916+I2918+I2919+I2920+I2921+I2922+I2923+I2924</f>
        <v>34285.0159091</v>
      </c>
      <c r="J2911" s="2"/>
      <c r="K2911" s="7">
        <f>K2912+K2914+K2915+K2916+K2917+K2918+K2919+K2920+K2921+K2922+K2923+K2924</f>
        <v>48313.70675</v>
      </c>
      <c r="L2911" s="2"/>
      <c r="M2911" s="7">
        <f>M2912+M2914+M2915+M2916+M2917+M2918+M2919+M2920+M2921+M2922+M2923+M2924</f>
        <v>29796.43786</v>
      </c>
    </row>
    <row r="2912" spans="1:13" ht="12.75">
      <c r="A2912" s="47" t="s">
        <v>14</v>
      </c>
      <c r="B2912" s="46"/>
      <c r="C2912" s="71"/>
      <c r="D2912" s="7"/>
      <c r="E2912" s="7">
        <f t="shared" si="51"/>
        <v>125048</v>
      </c>
      <c r="F2912" s="7"/>
      <c r="G2912" s="7">
        <v>32401</v>
      </c>
      <c r="H2912" s="2"/>
      <c r="I2912" s="7">
        <v>31277</v>
      </c>
      <c r="J2912" s="2"/>
      <c r="K2912" s="7">
        <v>32939</v>
      </c>
      <c r="L2912" s="2"/>
      <c r="M2912" s="7">
        <v>28431</v>
      </c>
    </row>
    <row r="2913" spans="1:13" ht="12.75">
      <c r="A2913" s="41" t="s">
        <v>19</v>
      </c>
      <c r="B2913" s="46"/>
      <c r="C2913" s="71"/>
      <c r="D2913" s="7"/>
      <c r="E2913" s="7">
        <f t="shared" si="51"/>
        <v>78880</v>
      </c>
      <c r="F2913" s="7"/>
      <c r="G2913" s="7">
        <v>19730</v>
      </c>
      <c r="H2913" s="2"/>
      <c r="I2913" s="7">
        <v>19730</v>
      </c>
      <c r="J2913" s="2"/>
      <c r="K2913" s="7">
        <v>19710</v>
      </c>
      <c r="L2913" s="2"/>
      <c r="M2913" s="7">
        <v>19710</v>
      </c>
    </row>
    <row r="2914" spans="1:13" ht="12.75">
      <c r="A2914" s="41" t="s">
        <v>18</v>
      </c>
      <c r="B2914" s="46"/>
      <c r="C2914" s="7"/>
      <c r="D2914" s="7"/>
      <c r="E2914" s="7">
        <f t="shared" si="51"/>
        <v>1412.86</v>
      </c>
      <c r="F2914" s="7"/>
      <c r="G2914" s="7">
        <v>221.55</v>
      </c>
      <c r="H2914" s="2"/>
      <c r="I2914" s="7">
        <v>311.8</v>
      </c>
      <c r="J2914" s="2"/>
      <c r="K2914" s="7">
        <v>422.21</v>
      </c>
      <c r="L2914" s="2"/>
      <c r="M2914" s="7">
        <v>457.3</v>
      </c>
    </row>
    <row r="2915" spans="1:13" ht="12.75">
      <c r="A2915" s="41" t="s">
        <v>53</v>
      </c>
      <c r="B2915" s="46"/>
      <c r="C2915" s="7"/>
      <c r="D2915" s="7"/>
      <c r="E2915" s="7">
        <f t="shared" si="51"/>
        <v>9276.6629754</v>
      </c>
      <c r="F2915" s="7"/>
      <c r="G2915" s="7">
        <f>0.54857*C2902</f>
        <v>2084.6153713</v>
      </c>
      <c r="H2915" s="2"/>
      <c r="I2915" s="7">
        <f>0.53049*C2902</f>
        <v>2015.9097441000001</v>
      </c>
      <c r="J2915" s="2"/>
      <c r="K2915" s="7">
        <v>4268</v>
      </c>
      <c r="L2915" s="2"/>
      <c r="M2915" s="7">
        <f>0.239*K2902</f>
        <v>908.1378599999999</v>
      </c>
    </row>
    <row r="2916" spans="1:13" ht="12.75">
      <c r="A2916" s="41" t="s">
        <v>148</v>
      </c>
      <c r="B2916" s="46"/>
      <c r="C2916" s="7"/>
      <c r="D2916" s="7"/>
      <c r="E2916" s="7">
        <f t="shared" si="51"/>
        <v>530</v>
      </c>
      <c r="F2916" s="7"/>
      <c r="G2916" s="7">
        <v>130</v>
      </c>
      <c r="H2916" s="2"/>
      <c r="I2916" s="7"/>
      <c r="J2916" s="2"/>
      <c r="K2916" s="7">
        <v>400</v>
      </c>
      <c r="L2916" s="2"/>
      <c r="M2916" s="7"/>
    </row>
    <row r="2917" spans="1:13" ht="12.75">
      <c r="A2917" s="41" t="s">
        <v>363</v>
      </c>
      <c r="B2917" s="46"/>
      <c r="C2917" s="7"/>
      <c r="D2917" s="7"/>
      <c r="E2917" s="7"/>
      <c r="F2917" s="7"/>
      <c r="G2917" s="7"/>
      <c r="H2917" s="2"/>
      <c r="I2917" s="7"/>
      <c r="J2917" s="2"/>
      <c r="K2917" s="7">
        <v>4112</v>
      </c>
      <c r="L2917" s="2"/>
      <c r="M2917" s="7"/>
    </row>
    <row r="2918" spans="1:13" ht="12.75">
      <c r="A2918" s="41" t="s">
        <v>27</v>
      </c>
      <c r="B2918" s="46"/>
      <c r="C2918" s="7"/>
      <c r="D2918" s="7"/>
      <c r="E2918" s="7">
        <f t="shared" si="51"/>
        <v>420</v>
      </c>
      <c r="F2918" s="7"/>
      <c r="G2918" s="7"/>
      <c r="H2918" s="2"/>
      <c r="I2918" s="7">
        <v>420</v>
      </c>
      <c r="J2918" s="2"/>
      <c r="K2918" s="7"/>
      <c r="L2918" s="2"/>
      <c r="M2918" s="7"/>
    </row>
    <row r="2919" spans="1:13" ht="12.75">
      <c r="A2919" s="41" t="s">
        <v>36</v>
      </c>
      <c r="B2919" s="46"/>
      <c r="C2919" s="7"/>
      <c r="D2919" s="7"/>
      <c r="E2919" s="7">
        <f t="shared" si="51"/>
        <v>6125</v>
      </c>
      <c r="F2919" s="7"/>
      <c r="G2919" s="7"/>
      <c r="H2919" s="2"/>
      <c r="I2919" s="7"/>
      <c r="J2919" s="2" t="s">
        <v>362</v>
      </c>
      <c r="K2919" s="7">
        <v>6125</v>
      </c>
      <c r="L2919" s="2"/>
      <c r="M2919" s="7"/>
    </row>
    <row r="2920" spans="1:13" ht="12.75">
      <c r="A2920" s="41" t="s">
        <v>58</v>
      </c>
      <c r="B2920" s="46"/>
      <c r="C2920" s="7"/>
      <c r="D2920" s="7"/>
      <c r="E2920" s="7">
        <f t="shared" si="51"/>
        <v>0</v>
      </c>
      <c r="F2920" s="7"/>
      <c r="G2920" s="7"/>
      <c r="H2920" s="2"/>
      <c r="I2920" s="7"/>
      <c r="J2920" s="2"/>
      <c r="K2920" s="7"/>
      <c r="L2920" s="2"/>
      <c r="M2920" s="7"/>
    </row>
    <row r="2921" spans="1:13" ht="12.75">
      <c r="A2921" s="41" t="s">
        <v>43</v>
      </c>
      <c r="B2921" s="46"/>
      <c r="C2921" s="7"/>
      <c r="D2921" s="7"/>
      <c r="E2921" s="7">
        <f t="shared" si="51"/>
        <v>0</v>
      </c>
      <c r="F2921" s="7"/>
      <c r="G2921" s="7"/>
      <c r="H2921" s="2"/>
      <c r="I2921" s="7"/>
      <c r="J2921" s="2"/>
      <c r="K2921" s="7"/>
      <c r="L2921" s="2"/>
      <c r="M2921" s="7"/>
    </row>
    <row r="2922" spans="1:13" ht="12.75">
      <c r="A2922" s="41" t="s">
        <v>30</v>
      </c>
      <c r="B2922" s="46"/>
      <c r="C2922" s="7"/>
      <c r="D2922" s="7"/>
      <c r="E2922" s="7">
        <f t="shared" si="51"/>
        <v>0</v>
      </c>
      <c r="F2922" s="7"/>
      <c r="G2922" s="7"/>
      <c r="H2922" s="2"/>
      <c r="I2922" s="7"/>
      <c r="J2922" s="2"/>
      <c r="K2922" s="7"/>
      <c r="L2922" s="2"/>
      <c r="M2922" s="7"/>
    </row>
    <row r="2923" spans="1:13" ht="12.75">
      <c r="A2923" s="41" t="s">
        <v>54</v>
      </c>
      <c r="B2923" s="46"/>
      <c r="C2923" s="7"/>
      <c r="D2923" s="7"/>
      <c r="E2923" s="7">
        <f t="shared" si="51"/>
        <v>74.481764</v>
      </c>
      <c r="F2923" s="7"/>
      <c r="G2923" s="7">
        <f>0.0196*C2902</f>
        <v>74.481764</v>
      </c>
      <c r="H2923" s="2"/>
      <c r="I2923" s="7"/>
      <c r="J2923" s="2"/>
      <c r="K2923" s="7"/>
      <c r="L2923" s="2"/>
      <c r="M2923" s="7"/>
    </row>
    <row r="2924" spans="1:13" ht="13.5" thickBot="1">
      <c r="A2924" s="48" t="s">
        <v>55</v>
      </c>
      <c r="B2924" s="49"/>
      <c r="C2924" s="50"/>
      <c r="D2924" s="50"/>
      <c r="E2924" s="50">
        <f t="shared" si="51"/>
        <v>307.80291500000004</v>
      </c>
      <c r="F2924" s="50"/>
      <c r="G2924" s="50"/>
      <c r="H2924" s="22"/>
      <c r="I2924" s="50">
        <f>0.0685*C2902</f>
        <v>260.306165</v>
      </c>
      <c r="J2924" s="22"/>
      <c r="K2924" s="50">
        <f>0.0125*K2902</f>
        <v>47.49675</v>
      </c>
      <c r="L2924" s="22"/>
      <c r="M2924" s="50"/>
    </row>
    <row r="2925" spans="1:13" ht="13.5" thickBot="1">
      <c r="A2925" s="51" t="s">
        <v>76</v>
      </c>
      <c r="B2925" s="81"/>
      <c r="C2925" s="63"/>
      <c r="D2925" s="63"/>
      <c r="E2925" s="63">
        <f t="shared" si="51"/>
        <v>271260.85632739996</v>
      </c>
      <c r="F2925" s="63"/>
      <c r="G2925" s="63">
        <f>G2909+G2911</f>
        <v>65289.83260159999</v>
      </c>
      <c r="H2925" s="26"/>
      <c r="I2925" s="63">
        <f>I2909+I2911</f>
        <v>70678.74384540001</v>
      </c>
      <c r="J2925" s="26"/>
      <c r="K2925" s="63">
        <f>K2909+K2911</f>
        <v>76159.30339459999</v>
      </c>
      <c r="L2925" s="26"/>
      <c r="M2925" s="29">
        <f>M2909+M2911</f>
        <v>59132.9764858</v>
      </c>
    </row>
    <row r="2926" spans="1:13" ht="21.75">
      <c r="A2926" s="54" t="s">
        <v>15</v>
      </c>
      <c r="B2926" s="55"/>
      <c r="C2926" s="66"/>
      <c r="D2926" s="66"/>
      <c r="E2926" s="56">
        <f t="shared" si="51"/>
        <v>0</v>
      </c>
      <c r="F2926" s="66"/>
      <c r="G2926" s="56"/>
      <c r="H2926" s="74"/>
      <c r="I2926" s="56"/>
      <c r="J2926" s="74"/>
      <c r="K2926" s="56"/>
      <c r="L2926" s="74"/>
      <c r="M2926" s="56"/>
    </row>
    <row r="2927" spans="1:13" ht="12.75">
      <c r="A2927" s="41" t="s">
        <v>17</v>
      </c>
      <c r="B2927" s="46"/>
      <c r="C2927" s="7"/>
      <c r="D2927" s="7"/>
      <c r="E2927" s="7">
        <f t="shared" si="51"/>
        <v>107429.20175539999</v>
      </c>
      <c r="F2927" s="7"/>
      <c r="G2927" s="7">
        <f>6.73321*C2902</f>
        <v>25586.8039889</v>
      </c>
      <c r="H2927" s="2"/>
      <c r="I2927" s="7">
        <f>7.02207*C2902</f>
        <v>26684.4979863</v>
      </c>
      <c r="J2927" s="2"/>
      <c r="K2927" s="7">
        <f>7.2754*K2902</f>
        <v>27644.628396</v>
      </c>
      <c r="L2927" s="2"/>
      <c r="M2927" s="7">
        <f>7.24083*K2902</f>
        <v>27513.271384199998</v>
      </c>
    </row>
    <row r="2928" spans="1:13" ht="12.75">
      <c r="A2928" s="41" t="s">
        <v>443</v>
      </c>
      <c r="B2928" s="46"/>
      <c r="C2928" s="71"/>
      <c r="D2928" s="7"/>
      <c r="E2928" s="7">
        <f t="shared" si="51"/>
        <v>336</v>
      </c>
      <c r="F2928" s="7"/>
      <c r="G2928" s="7"/>
      <c r="H2928" s="2"/>
      <c r="I2928" s="7"/>
      <c r="J2928" s="2"/>
      <c r="K2928" s="7"/>
      <c r="L2928" s="2"/>
      <c r="M2928" s="7">
        <v>336</v>
      </c>
    </row>
    <row r="2929" spans="1:13" ht="12.75">
      <c r="A2929" s="41" t="s">
        <v>67</v>
      </c>
      <c r="B2929" s="46"/>
      <c r="C2929" s="7"/>
      <c r="D2929" s="7"/>
      <c r="E2929" s="7">
        <f t="shared" si="51"/>
        <v>24800.5</v>
      </c>
      <c r="F2929" s="7"/>
      <c r="G2929" s="7">
        <v>12489.4</v>
      </c>
      <c r="H2929" s="2"/>
      <c r="I2929" s="7">
        <v>2480</v>
      </c>
      <c r="J2929" s="2"/>
      <c r="K2929" s="7">
        <v>9453</v>
      </c>
      <c r="L2929" s="2"/>
      <c r="M2929" s="7">
        <v>378.1</v>
      </c>
    </row>
    <row r="2930" spans="1:13" ht="12.75">
      <c r="A2930" s="41" t="s">
        <v>68</v>
      </c>
      <c r="B2930" s="46"/>
      <c r="C2930" s="7"/>
      <c r="D2930" s="7"/>
      <c r="E2930" s="7">
        <f t="shared" si="51"/>
        <v>0</v>
      </c>
      <c r="F2930" s="7"/>
      <c r="G2930" s="7"/>
      <c r="H2930" s="2"/>
      <c r="I2930" s="7"/>
      <c r="J2930" s="2"/>
      <c r="K2930" s="7"/>
      <c r="L2930" s="2"/>
      <c r="M2930" s="7"/>
    </row>
    <row r="2931" spans="1:13" ht="12.75">
      <c r="A2931" s="41" t="s">
        <v>69</v>
      </c>
      <c r="B2931" s="46"/>
      <c r="C2931" s="7"/>
      <c r="D2931" s="7"/>
      <c r="E2931" s="7">
        <f t="shared" si="51"/>
        <v>3553</v>
      </c>
      <c r="F2931" s="7"/>
      <c r="G2931" s="7"/>
      <c r="H2931" s="2"/>
      <c r="I2931" s="7">
        <v>155</v>
      </c>
      <c r="J2931" s="2"/>
      <c r="K2931" s="7">
        <v>3398</v>
      </c>
      <c r="L2931" s="2"/>
      <c r="M2931" s="7"/>
    </row>
    <row r="2932" spans="1:13" ht="12.75">
      <c r="A2932" s="41" t="s">
        <v>26</v>
      </c>
      <c r="B2932" s="46"/>
      <c r="C2932" s="7"/>
      <c r="D2932" s="7"/>
      <c r="E2932" s="7">
        <f t="shared" si="51"/>
        <v>0</v>
      </c>
      <c r="F2932" s="7"/>
      <c r="G2932" s="7"/>
      <c r="H2932" s="2"/>
      <c r="I2932" s="7"/>
      <c r="J2932" s="2"/>
      <c r="K2932" s="7"/>
      <c r="L2932" s="2"/>
      <c r="M2932" s="7"/>
    </row>
    <row r="2933" spans="1:13" ht="12.75">
      <c r="A2933" s="41" t="s">
        <v>28</v>
      </c>
      <c r="B2933" s="46"/>
      <c r="C2933" s="7"/>
      <c r="D2933" s="7"/>
      <c r="E2933" s="7">
        <f t="shared" si="51"/>
        <v>200</v>
      </c>
      <c r="F2933" s="7"/>
      <c r="G2933" s="7"/>
      <c r="H2933" s="2"/>
      <c r="I2933" s="7"/>
      <c r="J2933" s="2"/>
      <c r="K2933" s="7"/>
      <c r="L2933" s="2"/>
      <c r="M2933" s="7">
        <v>200</v>
      </c>
    </row>
    <row r="2934" spans="1:13" ht="12.75">
      <c r="A2934" s="41" t="s">
        <v>276</v>
      </c>
      <c r="B2934" s="46"/>
      <c r="C2934" s="7"/>
      <c r="D2934" s="7"/>
      <c r="E2934" s="7">
        <f t="shared" si="51"/>
        <v>4490</v>
      </c>
      <c r="F2934" s="7"/>
      <c r="G2934" s="7"/>
      <c r="H2934" s="2"/>
      <c r="I2934" s="7">
        <v>4490</v>
      </c>
      <c r="J2934" s="2"/>
      <c r="K2934" s="7"/>
      <c r="L2934" s="2"/>
      <c r="M2934" s="7"/>
    </row>
    <row r="2935" spans="1:13" ht="12.75">
      <c r="A2935" s="41" t="s">
        <v>274</v>
      </c>
      <c r="B2935" s="46"/>
      <c r="C2935" s="7"/>
      <c r="D2935" s="7"/>
      <c r="E2935" s="7">
        <f t="shared" si="51"/>
        <v>47774</v>
      </c>
      <c r="F2935" s="7"/>
      <c r="G2935" s="7"/>
      <c r="H2935" s="2"/>
      <c r="I2935" s="7">
        <v>47774</v>
      </c>
      <c r="J2935" s="2"/>
      <c r="K2935" s="7"/>
      <c r="L2935" s="2"/>
      <c r="M2935" s="7"/>
    </row>
    <row r="2936" spans="1:13" ht="12.75">
      <c r="A2936" s="41" t="s">
        <v>359</v>
      </c>
      <c r="B2936" s="46"/>
      <c r="C2936" s="7"/>
      <c r="D2936" s="7"/>
      <c r="E2936" s="7"/>
      <c r="F2936" s="7"/>
      <c r="G2936" s="7"/>
      <c r="H2936" s="2"/>
      <c r="I2936" s="7"/>
      <c r="J2936" s="2"/>
      <c r="K2936" s="7">
        <v>250</v>
      </c>
      <c r="L2936" s="2"/>
      <c r="M2936" s="7"/>
    </row>
    <row r="2937" spans="1:13" ht="12.75">
      <c r="A2937" s="41" t="s">
        <v>62</v>
      </c>
      <c r="B2937" s="46"/>
      <c r="C2937" s="7"/>
      <c r="D2937" s="7"/>
      <c r="E2937" s="7">
        <f t="shared" si="51"/>
        <v>0</v>
      </c>
      <c r="F2937" s="7"/>
      <c r="G2937" s="7"/>
      <c r="H2937" s="2"/>
      <c r="I2937" s="7"/>
      <c r="J2937" s="2"/>
      <c r="K2937" s="7"/>
      <c r="L2937" s="2"/>
      <c r="M2937" s="7"/>
    </row>
    <row r="2938" spans="1:13" ht="12.75">
      <c r="A2938" s="41" t="s">
        <v>63</v>
      </c>
      <c r="B2938" s="46"/>
      <c r="C2938" s="7"/>
      <c r="D2938" s="7"/>
      <c r="E2938" s="7">
        <f t="shared" si="51"/>
        <v>0</v>
      </c>
      <c r="F2938" s="7"/>
      <c r="G2938" s="7"/>
      <c r="H2938" s="2"/>
      <c r="I2938" s="7"/>
      <c r="J2938" s="2"/>
      <c r="K2938" s="7"/>
      <c r="L2938" s="2"/>
      <c r="M2938" s="7"/>
    </row>
    <row r="2939" spans="1:13" ht="12.75">
      <c r="A2939" s="41" t="s">
        <v>250</v>
      </c>
      <c r="B2939" s="46"/>
      <c r="C2939" s="7"/>
      <c r="D2939" s="7"/>
      <c r="E2939" s="7">
        <f t="shared" si="51"/>
        <v>1803</v>
      </c>
      <c r="F2939" s="7"/>
      <c r="G2939" s="7"/>
      <c r="H2939" s="2"/>
      <c r="I2939" s="7"/>
      <c r="J2939" s="2"/>
      <c r="K2939" s="7">
        <v>1803</v>
      </c>
      <c r="L2939" s="2"/>
      <c r="M2939" s="7"/>
    </row>
    <row r="2940" spans="1:13" ht="12.75">
      <c r="A2940" s="41" t="s">
        <v>51</v>
      </c>
      <c r="B2940" s="46"/>
      <c r="C2940" s="7"/>
      <c r="D2940" s="7"/>
      <c r="E2940" s="7">
        <f t="shared" si="51"/>
        <v>4162</v>
      </c>
      <c r="F2940" s="7"/>
      <c r="G2940" s="7"/>
      <c r="H2940" s="2"/>
      <c r="I2940" s="7">
        <v>4162</v>
      </c>
      <c r="J2940" s="2"/>
      <c r="K2940" s="7"/>
      <c r="L2940" s="2"/>
      <c r="M2940" s="7"/>
    </row>
    <row r="2941" spans="1:13" ht="12.75">
      <c r="A2941" s="58" t="s">
        <v>52</v>
      </c>
      <c r="B2941" s="46"/>
      <c r="C2941" s="7"/>
      <c r="D2941" s="7"/>
      <c r="E2941" s="7">
        <f t="shared" si="51"/>
        <v>0</v>
      </c>
      <c r="F2941" s="7"/>
      <c r="G2941" s="7"/>
      <c r="H2941" s="2"/>
      <c r="I2941" s="7"/>
      <c r="J2941" s="2"/>
      <c r="K2941" s="7"/>
      <c r="L2941" s="2"/>
      <c r="M2941" s="7"/>
    </row>
    <row r="2942" spans="1:13" ht="12.75">
      <c r="A2942" s="41" t="s">
        <v>442</v>
      </c>
      <c r="B2942" s="46"/>
      <c r="C2942" s="7"/>
      <c r="D2942" s="7"/>
      <c r="E2942" s="7">
        <f t="shared" si="51"/>
        <v>1758</v>
      </c>
      <c r="F2942" s="7"/>
      <c r="G2942" s="7"/>
      <c r="H2942" s="2"/>
      <c r="I2942" s="7"/>
      <c r="J2942" s="2"/>
      <c r="K2942" s="7"/>
      <c r="L2942" s="2"/>
      <c r="M2942" s="7">
        <v>1758</v>
      </c>
    </row>
    <row r="2943" spans="1:13" ht="12.75">
      <c r="A2943" s="41" t="s">
        <v>277</v>
      </c>
      <c r="B2943" s="46"/>
      <c r="C2943" s="7"/>
      <c r="D2943" s="7"/>
      <c r="E2943" s="7">
        <f t="shared" si="51"/>
        <v>200</v>
      </c>
      <c r="F2943" s="7"/>
      <c r="G2943" s="7"/>
      <c r="H2943" s="2"/>
      <c r="I2943" s="7">
        <v>200</v>
      </c>
      <c r="J2943" s="2"/>
      <c r="K2943" s="7"/>
      <c r="L2943" s="2"/>
      <c r="M2943" s="7"/>
    </row>
    <row r="2944" spans="1:13" ht="12.75">
      <c r="A2944" s="41" t="s">
        <v>57</v>
      </c>
      <c r="B2944" s="46"/>
      <c r="C2944" s="7"/>
      <c r="D2944" s="7"/>
      <c r="E2944" s="7">
        <f t="shared" si="51"/>
        <v>8826.980639</v>
      </c>
      <c r="F2944" s="7" t="s">
        <v>168</v>
      </c>
      <c r="G2944" s="7">
        <v>8800</v>
      </c>
      <c r="H2944" s="2"/>
      <c r="I2944" s="7">
        <f>0.0071*C2902</f>
        <v>26.980639000000004</v>
      </c>
      <c r="J2944" s="2"/>
      <c r="K2944" s="7"/>
      <c r="L2944" s="2"/>
      <c r="M2944" s="7"/>
    </row>
    <row r="2945" spans="1:13" ht="12.75">
      <c r="A2945" s="41" t="s">
        <v>33</v>
      </c>
      <c r="B2945" s="46"/>
      <c r="C2945" s="7"/>
      <c r="D2945" s="7"/>
      <c r="E2945" s="7">
        <f t="shared" si="51"/>
        <v>1237</v>
      </c>
      <c r="F2945" s="15"/>
      <c r="G2945" s="7"/>
      <c r="H2945" s="2"/>
      <c r="I2945" s="7"/>
      <c r="J2945" s="2"/>
      <c r="K2945" s="7"/>
      <c r="L2945" s="2"/>
      <c r="M2945" s="7">
        <v>1237</v>
      </c>
    </row>
    <row r="2946" spans="1:13" ht="12.75">
      <c r="A2946" s="41" t="s">
        <v>50</v>
      </c>
      <c r="B2946" s="46"/>
      <c r="C2946" s="7"/>
      <c r="D2946" s="7"/>
      <c r="E2946" s="7">
        <f t="shared" si="51"/>
        <v>4166.323931</v>
      </c>
      <c r="F2946" s="7"/>
      <c r="G2946" s="7">
        <f>0.2455*C2902</f>
        <v>932.922095</v>
      </c>
      <c r="H2946" s="2"/>
      <c r="I2946" s="7">
        <f>0.5802*C2902</f>
        <v>2204.8122180000005</v>
      </c>
      <c r="J2946" s="2"/>
      <c r="K2946" s="7">
        <f>0.1437*K2902</f>
        <v>546.0226379999999</v>
      </c>
      <c r="L2946" s="2"/>
      <c r="M2946" s="7">
        <f>0.127*K2902</f>
        <v>482.56698</v>
      </c>
    </row>
    <row r="2947" spans="1:13" ht="13.5" thickBot="1">
      <c r="A2947" s="48" t="s">
        <v>54</v>
      </c>
      <c r="B2947" s="49"/>
      <c r="C2947" s="50"/>
      <c r="D2947" s="50"/>
      <c r="E2947" s="50">
        <f t="shared" si="51"/>
        <v>117.03472199999999</v>
      </c>
      <c r="F2947" s="50"/>
      <c r="G2947" s="50"/>
      <c r="H2947" s="22"/>
      <c r="I2947" s="50">
        <f>0.0078*C2902</f>
        <v>29.640702</v>
      </c>
      <c r="J2947" s="22"/>
      <c r="K2947" s="50">
        <f>0.011*K2902</f>
        <v>41.79713999999999</v>
      </c>
      <c r="L2947" s="22"/>
      <c r="M2947" s="50">
        <f>0.012*K2902</f>
        <v>45.59688</v>
      </c>
    </row>
    <row r="2948" spans="1:13" ht="13.5" thickBot="1">
      <c r="A2948" s="59" t="s">
        <v>10</v>
      </c>
      <c r="B2948" s="81"/>
      <c r="C2948" s="63"/>
      <c r="D2948" s="63"/>
      <c r="E2948" s="63">
        <f t="shared" si="51"/>
        <v>211103.0410474</v>
      </c>
      <c r="F2948" s="63"/>
      <c r="G2948" s="63">
        <f>SUM(G2927:G2947)</f>
        <v>47809.1260839</v>
      </c>
      <c r="H2948" s="26"/>
      <c r="I2948" s="63">
        <f>SUM(I2927:I2947)</f>
        <v>88206.93154530002</v>
      </c>
      <c r="J2948" s="26"/>
      <c r="K2948" s="63">
        <f>SUM(K2927:K2947)</f>
        <v>43136.448174000005</v>
      </c>
      <c r="L2948" s="26"/>
      <c r="M2948" s="29">
        <f>SUM(M2927:M2947)</f>
        <v>31950.535244199997</v>
      </c>
    </row>
    <row r="2949" spans="1:13" ht="12.75">
      <c r="A2949" s="60" t="s">
        <v>42</v>
      </c>
      <c r="B2949" s="55"/>
      <c r="C2949" s="66"/>
      <c r="D2949" s="66"/>
      <c r="E2949" s="56">
        <f t="shared" si="51"/>
        <v>0</v>
      </c>
      <c r="F2949" s="66"/>
      <c r="G2949" s="56"/>
      <c r="H2949" s="74"/>
      <c r="I2949" s="56"/>
      <c r="J2949" s="74"/>
      <c r="K2949" s="56"/>
      <c r="L2949" s="74"/>
      <c r="M2949" s="56"/>
    </row>
    <row r="2950" spans="1:13" ht="12.75">
      <c r="A2950" s="41" t="s">
        <v>56</v>
      </c>
      <c r="B2950" s="46"/>
      <c r="C2950" s="7"/>
      <c r="D2950" s="7"/>
      <c r="E2950" s="7">
        <f t="shared" si="51"/>
        <v>0</v>
      </c>
      <c r="F2950" s="7"/>
      <c r="G2950" s="7"/>
      <c r="H2950" s="2"/>
      <c r="I2950" s="7"/>
      <c r="J2950" s="2"/>
      <c r="K2950" s="7"/>
      <c r="L2950" s="2"/>
      <c r="M2950" s="7"/>
    </row>
    <row r="2951" spans="1:13" ht="12.75">
      <c r="A2951" s="138" t="s">
        <v>437</v>
      </c>
      <c r="B2951" s="49"/>
      <c r="C2951" s="50"/>
      <c r="D2951" s="50"/>
      <c r="E2951" s="7">
        <f t="shared" si="51"/>
        <v>267.2</v>
      </c>
      <c r="F2951" s="50"/>
      <c r="G2951" s="50"/>
      <c r="H2951" s="22"/>
      <c r="I2951" s="50"/>
      <c r="J2951" s="22"/>
      <c r="K2951" s="50"/>
      <c r="L2951" s="22"/>
      <c r="M2951" s="50">
        <v>267.2</v>
      </c>
    </row>
    <row r="2952" spans="1:13" ht="12.75">
      <c r="A2952" s="48" t="s">
        <v>275</v>
      </c>
      <c r="B2952" s="49"/>
      <c r="C2952" s="50"/>
      <c r="D2952" s="50"/>
      <c r="E2952" s="7">
        <f t="shared" si="51"/>
        <v>6184</v>
      </c>
      <c r="F2952" s="50"/>
      <c r="G2952" s="50"/>
      <c r="H2952" s="22"/>
      <c r="I2952" s="50">
        <v>5884</v>
      </c>
      <c r="J2952" s="22"/>
      <c r="K2952" s="50">
        <v>300</v>
      </c>
      <c r="L2952" s="22"/>
      <c r="M2952" s="50"/>
    </row>
    <row r="2953" spans="1:13" ht="12.75">
      <c r="A2953" s="41" t="s">
        <v>156</v>
      </c>
      <c r="B2953" s="49"/>
      <c r="C2953" s="50"/>
      <c r="D2953" s="50"/>
      <c r="E2953" s="7">
        <f t="shared" si="51"/>
        <v>158</v>
      </c>
      <c r="F2953" s="50"/>
      <c r="G2953" s="50"/>
      <c r="H2953" s="22"/>
      <c r="I2953" s="50"/>
      <c r="J2953" s="22"/>
      <c r="K2953" s="50"/>
      <c r="L2953" s="22"/>
      <c r="M2953" s="50">
        <v>158</v>
      </c>
    </row>
    <row r="2954" spans="1:13" ht="13.5" thickBot="1">
      <c r="A2954" s="48" t="s">
        <v>16</v>
      </c>
      <c r="B2954" s="49"/>
      <c r="C2954" s="50"/>
      <c r="D2954" s="50"/>
      <c r="E2954" s="50">
        <f t="shared" si="51"/>
        <v>135.65383300000002</v>
      </c>
      <c r="F2954" s="50"/>
      <c r="G2954" s="50">
        <f>0.0089*C2902</f>
        <v>33.820801</v>
      </c>
      <c r="H2954" s="22"/>
      <c r="I2954" s="50"/>
      <c r="J2954" s="22"/>
      <c r="K2954" s="50"/>
      <c r="L2954" s="22"/>
      <c r="M2954" s="50">
        <f>0.0268*K2902</f>
        <v>101.833032</v>
      </c>
    </row>
    <row r="2955" spans="1:13" ht="13.5" thickBot="1">
      <c r="A2955" s="62" t="s">
        <v>10</v>
      </c>
      <c r="B2955" s="81"/>
      <c r="C2955" s="63"/>
      <c r="D2955" s="63"/>
      <c r="E2955" s="63">
        <f t="shared" si="51"/>
        <v>6744.853833</v>
      </c>
      <c r="F2955" s="63"/>
      <c r="G2955" s="63">
        <f>SUM(G2950:G2954)</f>
        <v>33.820801</v>
      </c>
      <c r="H2955" s="26"/>
      <c r="I2955" s="63">
        <f>SUM(I2950:I2954)</f>
        <v>5884</v>
      </c>
      <c r="J2955" s="26"/>
      <c r="K2955" s="63">
        <f>SUM(K2950:K2954)</f>
        <v>300</v>
      </c>
      <c r="L2955" s="26"/>
      <c r="M2955" s="29">
        <f>SUM(M2950:M2954)</f>
        <v>527.033032</v>
      </c>
    </row>
    <row r="2956" spans="1:13" ht="13.5" thickBot="1">
      <c r="A2956" s="64" t="s">
        <v>29</v>
      </c>
      <c r="B2956" s="81"/>
      <c r="C2956" s="63"/>
      <c r="D2956" s="63"/>
      <c r="E2956" s="63">
        <f t="shared" si="51"/>
        <v>8712.021143</v>
      </c>
      <c r="F2956" s="63"/>
      <c r="G2956" s="63">
        <f>0.4236*C2902</f>
        <v>1609.718124</v>
      </c>
      <c r="H2956" s="26"/>
      <c r="I2956" s="63">
        <f>0.5971*C2902</f>
        <v>2269.033739</v>
      </c>
      <c r="J2956" s="26"/>
      <c r="K2956" s="63"/>
      <c r="L2956" s="26"/>
      <c r="M2956" s="29">
        <f>1.272*K2902</f>
        <v>4833.2692799999995</v>
      </c>
    </row>
    <row r="2957" spans="1:13" ht="21.75">
      <c r="A2957" s="65" t="s">
        <v>83</v>
      </c>
      <c r="B2957" s="61"/>
      <c r="C2957" s="56"/>
      <c r="D2957" s="56"/>
      <c r="E2957" s="56">
        <f t="shared" si="51"/>
        <v>497820.77235080005</v>
      </c>
      <c r="F2957" s="56"/>
      <c r="G2957" s="56">
        <f>G2925+G2948+G2955+G2956</f>
        <v>114742.4976105</v>
      </c>
      <c r="H2957" s="74"/>
      <c r="I2957" s="56">
        <f>I2925+I2948+I2955+I2956</f>
        <v>167038.70912970003</v>
      </c>
      <c r="J2957" s="74"/>
      <c r="K2957" s="56">
        <f>K2925+K2948+K2955+K2956</f>
        <v>119595.7515686</v>
      </c>
      <c r="L2957" s="74"/>
      <c r="M2957" s="56">
        <f>M2925+M2948+M2955+M2956</f>
        <v>96443.814042</v>
      </c>
    </row>
    <row r="2958" spans="1:13" ht="33.75">
      <c r="A2958" s="67" t="s">
        <v>84</v>
      </c>
      <c r="B2958" s="46"/>
      <c r="C2958" s="7"/>
      <c r="D2958" s="7"/>
      <c r="E2958" s="8">
        <f>E2957/6/C2902</f>
        <v>21.833727286757245</v>
      </c>
      <c r="F2958" s="7"/>
      <c r="G2958" s="8">
        <f>G2957/3/C2902</f>
        <v>10.064892990297597</v>
      </c>
      <c r="H2958" s="2"/>
      <c r="I2958" s="8">
        <f>I2957/3/C2902</f>
        <v>14.652171319600328</v>
      </c>
      <c r="J2958" s="2"/>
      <c r="K2958" s="8">
        <f>K2957/3/K2902</f>
        <v>10.491573245239586</v>
      </c>
      <c r="L2958" s="2"/>
      <c r="M2958" s="8">
        <f>M2957/3/K2902</f>
        <v>8.460562568491529</v>
      </c>
    </row>
    <row r="2959" spans="1:13" ht="12.75">
      <c r="A2959" s="69" t="s">
        <v>20</v>
      </c>
      <c r="B2959" s="44"/>
      <c r="C2959" s="45"/>
      <c r="D2959" s="45"/>
      <c r="E2959" s="45">
        <f>E2907-E2957</f>
        <v>-116929.48235080001</v>
      </c>
      <c r="F2959" s="45"/>
      <c r="G2959" s="7">
        <f>G2907-G2957</f>
        <v>-29923.327610499997</v>
      </c>
      <c r="H2959" s="2"/>
      <c r="I2959" s="7">
        <f>I2907-I2957-29923</f>
        <v>-92223.98912970003</v>
      </c>
      <c r="J2959" s="2"/>
      <c r="K2959" s="7">
        <f>K2907-K2957-92224</f>
        <v>-111605.7515686</v>
      </c>
      <c r="L2959" s="2"/>
      <c r="M2959" s="7">
        <f>M2907-M2957-111606</f>
        <v>-116929.414042</v>
      </c>
    </row>
    <row r="2960" spans="1:13" ht="12.75">
      <c r="A2960" s="14" t="s">
        <v>24</v>
      </c>
      <c r="B2960" s="14"/>
      <c r="C2960" s="14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</row>
    <row r="2961" spans="1:13" ht="12.75">
      <c r="A2961" s="14" t="s">
        <v>35</v>
      </c>
      <c r="B2961" s="14"/>
      <c r="C2961" s="14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</row>
    <row r="2962" spans="1:13" ht="12.75">
      <c r="A2962" s="14" t="s">
        <v>25</v>
      </c>
      <c r="B2962" s="14"/>
      <c r="C2962" s="14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</row>
    <row r="2963" spans="1:13" ht="12.75">
      <c r="A2963" s="14"/>
      <c r="B2963" s="14"/>
      <c r="C2963" s="14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</row>
    <row r="2964" spans="1:13" ht="12.75">
      <c r="A2964" s="14"/>
      <c r="B2964" s="14"/>
      <c r="C2964" s="14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</row>
    <row r="2965" spans="1:13" ht="12.75">
      <c r="A2965" s="14"/>
      <c r="B2965" s="14"/>
      <c r="C2965" s="14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</row>
    <row r="2966" spans="1:13" ht="12.75">
      <c r="A2966" s="14"/>
      <c r="B2966" s="14"/>
      <c r="C2966" s="14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</row>
    <row r="2967" spans="1:13" ht="12.75">
      <c r="A2967" s="14"/>
      <c r="B2967" s="14"/>
      <c r="C2967" s="14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</row>
    <row r="2968" spans="1:13" ht="12.75">
      <c r="A2968" s="14"/>
      <c r="B2968" s="14"/>
      <c r="C2968" s="14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</row>
    <row r="2969" spans="1:13" ht="12.75">
      <c r="A2969" s="14"/>
      <c r="B2969" s="14"/>
      <c r="C2969" s="14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</row>
    <row r="2970" spans="1:13" ht="12.75">
      <c r="A2970" s="14"/>
      <c r="B2970" s="14"/>
      <c r="C2970" s="14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</row>
    <row r="2971" spans="1:13" ht="12.75">
      <c r="A2971" s="14"/>
      <c r="B2971" s="14"/>
      <c r="C2971" s="14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</row>
    <row r="2972" spans="1:13" ht="12.75">
      <c r="A2972" s="14"/>
      <c r="B2972" s="14"/>
      <c r="C2972" s="14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</row>
    <row r="2973" spans="1:13" ht="12.75">
      <c r="A2973" s="14"/>
      <c r="B2973" s="14"/>
      <c r="C2973" s="14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</row>
    <row r="2974" spans="1:13" ht="12.75">
      <c r="A2974" s="14"/>
      <c r="B2974" s="14"/>
      <c r="C2974" s="14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</row>
    <row r="2975" spans="1:13" ht="12.75">
      <c r="A2975" s="14"/>
      <c r="B2975" s="14"/>
      <c r="C2975" s="14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</row>
    <row r="2976" spans="1:13" ht="12.75">
      <c r="A2976" s="14"/>
      <c r="B2976" s="14"/>
      <c r="C2976" s="14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</row>
    <row r="2977" spans="1:13" ht="12.75">
      <c r="A2977" s="14"/>
      <c r="B2977" s="14"/>
      <c r="C2977" s="14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</row>
    <row r="2978" spans="1:13" ht="12.75">
      <c r="A2978" s="14"/>
      <c r="B2978" s="14"/>
      <c r="C2978" s="14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</row>
    <row r="2979" spans="1:13" ht="12.75">
      <c r="A2979" s="14"/>
      <c r="B2979" s="14"/>
      <c r="C2979" s="14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</row>
    <row r="2980" spans="1:13" ht="0.75" customHeight="1">
      <c r="A2980" s="14"/>
      <c r="B2980" s="14"/>
      <c r="C2980" s="14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</row>
    <row r="2981" spans="1:13" ht="12.75" hidden="1">
      <c r="A2981" s="14"/>
      <c r="B2981" s="14"/>
      <c r="C2981" s="14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</row>
    <row r="2982" spans="1:13" ht="12.75" hidden="1">
      <c r="A2982" s="14"/>
      <c r="B2982" s="14"/>
      <c r="C2982" s="14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</row>
    <row r="2983" spans="1:13" ht="12.75" hidden="1">
      <c r="A2983" s="14"/>
      <c r="B2983" s="14"/>
      <c r="C2983" s="14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</row>
    <row r="2984" spans="1:13" ht="12.75" hidden="1">
      <c r="A2984" s="14"/>
      <c r="B2984" s="14"/>
      <c r="C2984" s="14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</row>
    <row r="2985" spans="1:13" ht="12.75" hidden="1">
      <c r="A2985" s="14"/>
      <c r="B2985" s="14"/>
      <c r="C2985" s="14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</row>
    <row r="2986" spans="1:13" ht="12.75">
      <c r="A2986" s="31" t="s">
        <v>21</v>
      </c>
      <c r="B2986" s="31"/>
      <c r="C2986" s="14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</row>
    <row r="2987" spans="1:13" ht="12.75">
      <c r="A2987" s="14" t="s">
        <v>31</v>
      </c>
      <c r="B2987" s="14"/>
      <c r="C2987" s="14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</row>
    <row r="2988" spans="1:13" ht="12.75">
      <c r="A2988" s="14" t="s">
        <v>41</v>
      </c>
      <c r="B2988" s="14"/>
      <c r="C2988" s="14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</row>
    <row r="2989" spans="1:13" ht="12.75">
      <c r="A2989" s="14" t="s">
        <v>132</v>
      </c>
      <c r="B2989" s="14"/>
      <c r="C2989" s="14"/>
      <c r="D2989" s="14"/>
      <c r="E2989" s="14" t="s">
        <v>32</v>
      </c>
      <c r="F2989" s="14"/>
      <c r="G2989" s="14"/>
      <c r="H2989" s="14"/>
      <c r="I2989" s="14"/>
      <c r="J2989" s="14"/>
      <c r="K2989" s="14"/>
      <c r="L2989" s="14"/>
      <c r="M2989" s="14"/>
    </row>
    <row r="2990" spans="1:13" ht="12.75" customHeight="1">
      <c r="A2990" s="6" t="s">
        <v>0</v>
      </c>
      <c r="B2990" s="151" t="s">
        <v>38</v>
      </c>
      <c r="C2990" s="152"/>
      <c r="D2990" s="149" t="s">
        <v>39</v>
      </c>
      <c r="E2990" s="150"/>
      <c r="F2990" s="149" t="s">
        <v>96</v>
      </c>
      <c r="G2990" s="150"/>
      <c r="H2990" s="149" t="s">
        <v>97</v>
      </c>
      <c r="I2990" s="150"/>
      <c r="J2990" s="149" t="s">
        <v>98</v>
      </c>
      <c r="K2990" s="150"/>
      <c r="L2990" s="149" t="s">
        <v>99</v>
      </c>
      <c r="M2990" s="150"/>
    </row>
    <row r="2991" spans="1:13" ht="12.75">
      <c r="A2991" s="11" t="s">
        <v>5</v>
      </c>
      <c r="B2991" s="153"/>
      <c r="C2991" s="154"/>
      <c r="D2991" s="6" t="s">
        <v>40</v>
      </c>
      <c r="E2991" s="6" t="s">
        <v>22</v>
      </c>
      <c r="F2991" s="6" t="s">
        <v>40</v>
      </c>
      <c r="G2991" s="13" t="s">
        <v>22</v>
      </c>
      <c r="H2991" s="2"/>
      <c r="I2991" s="2"/>
      <c r="J2991" s="2"/>
      <c r="K2991" s="2"/>
      <c r="L2991" s="2"/>
      <c r="M2991" s="2"/>
    </row>
    <row r="2992" spans="1:13" ht="12.75">
      <c r="A2992" s="2" t="s">
        <v>1</v>
      </c>
      <c r="B2992" s="2"/>
      <c r="C2992" s="6">
        <v>5</v>
      </c>
      <c r="D2992" s="2"/>
      <c r="E2992" s="2"/>
      <c r="F2992" s="2"/>
      <c r="G2992" s="2"/>
      <c r="H2992" s="2"/>
      <c r="I2992" s="2"/>
      <c r="J2992" s="2"/>
      <c r="K2992" s="2"/>
      <c r="L2992" s="2"/>
      <c r="M2992" s="2"/>
    </row>
    <row r="2993" spans="1:13" ht="12.75">
      <c r="A2993" s="2" t="s">
        <v>2</v>
      </c>
      <c r="B2993" s="2"/>
      <c r="C2993" s="6">
        <v>4</v>
      </c>
      <c r="D2993" s="2"/>
      <c r="E2993" s="2"/>
      <c r="F2993" s="2"/>
      <c r="G2993" s="2"/>
      <c r="H2993" s="2"/>
      <c r="I2993" s="2"/>
      <c r="J2993" s="2"/>
      <c r="K2993" s="2"/>
      <c r="L2993" s="2"/>
      <c r="M2993" s="2"/>
    </row>
    <row r="2994" spans="1:13" ht="12.75">
      <c r="A2994" s="2" t="s">
        <v>3</v>
      </c>
      <c r="B2994" s="2"/>
      <c r="C2994" s="6">
        <v>80</v>
      </c>
      <c r="D2994" s="2"/>
      <c r="E2994" s="2"/>
      <c r="F2994" s="2"/>
      <c r="G2994" s="2"/>
      <c r="H2994" s="2"/>
      <c r="I2994" s="2"/>
      <c r="J2994" s="2"/>
      <c r="K2994" s="2"/>
      <c r="L2994" s="2"/>
      <c r="M2994" s="2"/>
    </row>
    <row r="2995" spans="1:13" ht="12.75">
      <c r="A2995" s="2" t="s">
        <v>4</v>
      </c>
      <c r="B2995" s="6"/>
      <c r="C2995" s="6">
        <v>3782.87</v>
      </c>
      <c r="D2995" s="6"/>
      <c r="E2995" s="6"/>
      <c r="F2995" s="6"/>
      <c r="G2995" s="2"/>
      <c r="H2995" s="2"/>
      <c r="I2995" s="2"/>
      <c r="J2995" s="2"/>
      <c r="K2995" s="2">
        <v>3782.59</v>
      </c>
      <c r="L2995" s="2"/>
      <c r="M2995" s="2"/>
    </row>
    <row r="2996" spans="1:13" ht="21.75">
      <c r="A2996" s="35" t="s">
        <v>6</v>
      </c>
      <c r="B2996" s="11" t="s">
        <v>40</v>
      </c>
      <c r="C2996" s="2" t="s">
        <v>22</v>
      </c>
      <c r="D2996" s="2"/>
      <c r="E2996" s="2"/>
      <c r="F2996" s="2"/>
      <c r="G2996" s="2"/>
      <c r="H2996" s="2"/>
      <c r="I2996" s="2"/>
      <c r="J2996" s="2"/>
      <c r="K2996" s="2"/>
      <c r="L2996" s="2"/>
      <c r="M2996" s="2"/>
    </row>
    <row r="2997" spans="1:13" ht="22.5">
      <c r="A2997" s="40" t="s">
        <v>7</v>
      </c>
      <c r="B2997" s="3"/>
      <c r="C2997" s="6"/>
      <c r="D2997" s="6"/>
      <c r="E2997" s="6">
        <f>G2997+I2997+K2997+M2997</f>
        <v>311120.19</v>
      </c>
      <c r="F2997" s="2"/>
      <c r="G2997" s="2">
        <v>72407.43</v>
      </c>
      <c r="H2997" s="2"/>
      <c r="I2997" s="2">
        <v>75837.89</v>
      </c>
      <c r="J2997" s="2"/>
      <c r="K2997" s="2">
        <v>77796.8</v>
      </c>
      <c r="L2997" s="2"/>
      <c r="M2997" s="2">
        <v>85078.07</v>
      </c>
    </row>
    <row r="2998" spans="1:13" ht="12.75">
      <c r="A2998" s="41" t="s">
        <v>8</v>
      </c>
      <c r="B2998" s="3"/>
      <c r="C2998" s="6"/>
      <c r="D2998" s="6"/>
      <c r="E2998" s="6"/>
      <c r="F2998" s="2"/>
      <c r="G2998" s="2"/>
      <c r="H2998" s="2"/>
      <c r="I2998" s="2"/>
      <c r="J2998" s="2"/>
      <c r="K2998" s="2"/>
      <c r="L2998" s="2"/>
      <c r="M2998" s="2"/>
    </row>
    <row r="2999" spans="1:13" ht="12.75">
      <c r="A2999" s="41" t="s">
        <v>9</v>
      </c>
      <c r="B2999" s="3"/>
      <c r="C2999" s="6"/>
      <c r="D2999" s="6"/>
      <c r="E2999" s="6"/>
      <c r="F2999" s="2"/>
      <c r="G2999" s="2"/>
      <c r="H2999" s="2"/>
      <c r="I2999" s="2"/>
      <c r="J2999" s="2"/>
      <c r="K2999" s="2"/>
      <c r="L2999" s="2"/>
      <c r="M2999" s="2"/>
    </row>
    <row r="3000" spans="1:13" ht="12.75">
      <c r="A3000" s="2" t="s">
        <v>10</v>
      </c>
      <c r="B3000" s="42"/>
      <c r="C3000" s="11"/>
      <c r="D3000" s="11"/>
      <c r="E3000" s="11">
        <f>SUM(E2997:E2999)</f>
        <v>311120.19</v>
      </c>
      <c r="F3000" s="37"/>
      <c r="G3000" s="37">
        <f>SUM(G2997:G2999)</f>
        <v>72407.43</v>
      </c>
      <c r="H3000" s="2"/>
      <c r="I3000" s="2">
        <f>SUM(I2997:I2999)</f>
        <v>75837.89</v>
      </c>
      <c r="J3000" s="2"/>
      <c r="K3000" s="2">
        <f>SUM(K2997:K2999)</f>
        <v>77796.8</v>
      </c>
      <c r="L3000" s="2"/>
      <c r="M3000" s="2">
        <f>SUM(M2997:M2999)</f>
        <v>85078.07</v>
      </c>
    </row>
    <row r="3001" spans="1:13" ht="21.75">
      <c r="A3001" s="35" t="s">
        <v>82</v>
      </c>
      <c r="B3001" s="4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</row>
    <row r="3002" spans="1:13" ht="12.75">
      <c r="A3002" s="43" t="s">
        <v>11</v>
      </c>
      <c r="B3002" s="44"/>
      <c r="C3002" s="45"/>
      <c r="D3002" s="45"/>
      <c r="E3002" s="45">
        <f>G3002+I3002+K3002+M3002</f>
        <v>123395.5457658</v>
      </c>
      <c r="F3002" s="45"/>
      <c r="G3002" s="45">
        <f>7.99407*C2995</f>
        <v>30240.527580899998</v>
      </c>
      <c r="H3002" s="2"/>
      <c r="I3002" s="7">
        <f>9.57707*C2995</f>
        <v>36228.8107909</v>
      </c>
      <c r="J3002" s="2"/>
      <c r="K3002" s="7">
        <f>7.32829*K2995</f>
        <v>27719.9164711</v>
      </c>
      <c r="L3002" s="2"/>
      <c r="M3002" s="7">
        <f>7.72067*C2995</f>
        <v>29206.2909229</v>
      </c>
    </row>
    <row r="3003" spans="1:13" ht="12.75">
      <c r="A3003" s="43" t="s">
        <v>12</v>
      </c>
      <c r="B3003" s="46"/>
      <c r="C3003" s="7"/>
      <c r="D3003" s="7"/>
      <c r="E3003" s="7">
        <f aca="true" t="shared" si="52" ref="E3003:E3046">G3003+I3003+K3003+M3003</f>
        <v>0</v>
      </c>
      <c r="F3003" s="7"/>
      <c r="G3003" s="7"/>
      <c r="H3003" s="2"/>
      <c r="I3003" s="7"/>
      <c r="J3003" s="2"/>
      <c r="K3003" s="7"/>
      <c r="L3003" s="2"/>
      <c r="M3003" s="7"/>
    </row>
    <row r="3004" spans="1:13" ht="12.75">
      <c r="A3004" s="41" t="s">
        <v>13</v>
      </c>
      <c r="B3004" s="46"/>
      <c r="C3004" s="7"/>
      <c r="D3004" s="7"/>
      <c r="E3004" s="45">
        <f t="shared" si="52"/>
        <v>149935.9546113</v>
      </c>
      <c r="F3004" s="45"/>
      <c r="G3004" s="45">
        <f>G3005+G3007+G3008+G3009+G3010+G3011+G3012+G3013+G3014+G3015+G3016</f>
        <v>36731.8132479</v>
      </c>
      <c r="H3004" s="2"/>
      <c r="I3004" s="7">
        <f>I3005+I3007+I3008+I3009+I3010+I3011+I3012+I3013+I3014+I3015+I3016</f>
        <v>40005.2382643</v>
      </c>
      <c r="J3004" s="2"/>
      <c r="K3004" s="7">
        <f>K3005+K3007+K3008+K3009+K3010+K3011+K3012+K3013+K3014+K3015+K3016</f>
        <v>41563.724089100004</v>
      </c>
      <c r="L3004" s="2"/>
      <c r="M3004" s="7">
        <f>M3005+M3007+M3008+M3009+M3010+M3011+M3012+M3013+M3014+M3015+M3016</f>
        <v>31635.17901</v>
      </c>
    </row>
    <row r="3005" spans="1:13" ht="12.75">
      <c r="A3005" s="47" t="s">
        <v>14</v>
      </c>
      <c r="B3005" s="46"/>
      <c r="C3005" s="71"/>
      <c r="D3005" s="7"/>
      <c r="E3005" s="7">
        <f t="shared" si="52"/>
        <v>132387</v>
      </c>
      <c r="F3005" s="7"/>
      <c r="G3005" s="7">
        <v>34232</v>
      </c>
      <c r="H3005" s="2"/>
      <c r="I3005" s="7">
        <v>33113</v>
      </c>
      <c r="J3005" s="2"/>
      <c r="K3005" s="7">
        <v>34766</v>
      </c>
      <c r="L3005" s="2"/>
      <c r="M3005" s="7">
        <v>30276</v>
      </c>
    </row>
    <row r="3006" spans="1:13" ht="12.75">
      <c r="A3006" s="41" t="s">
        <v>19</v>
      </c>
      <c r="B3006" s="46"/>
      <c r="C3006" s="71"/>
      <c r="D3006" s="7"/>
      <c r="E3006" s="7">
        <f t="shared" si="52"/>
        <v>86432</v>
      </c>
      <c r="F3006" s="7"/>
      <c r="G3006" s="7">
        <v>21619</v>
      </c>
      <c r="H3006" s="2"/>
      <c r="I3006" s="7">
        <v>21619</v>
      </c>
      <c r="J3006" s="2"/>
      <c r="K3006" s="7">
        <v>21597</v>
      </c>
      <c r="L3006" s="2"/>
      <c r="M3006" s="7">
        <v>21597</v>
      </c>
    </row>
    <row r="3007" spans="1:13" ht="12.75">
      <c r="A3007" s="41" t="s">
        <v>18</v>
      </c>
      <c r="B3007" s="46"/>
      <c r="C3007" s="7"/>
      <c r="D3007" s="7"/>
      <c r="E3007" s="7">
        <f t="shared" si="52"/>
        <v>1405.87</v>
      </c>
      <c r="F3007" s="7"/>
      <c r="G3007" s="7">
        <v>220.5</v>
      </c>
      <c r="H3007" s="2"/>
      <c r="I3007" s="7">
        <v>310</v>
      </c>
      <c r="J3007" s="2"/>
      <c r="K3007" s="7">
        <v>420.23</v>
      </c>
      <c r="L3007" s="2"/>
      <c r="M3007" s="7">
        <v>455.14</v>
      </c>
    </row>
    <row r="3008" spans="1:13" ht="12.75">
      <c r="A3008" s="41" t="s">
        <v>53</v>
      </c>
      <c r="B3008" s="46"/>
      <c r="C3008" s="7"/>
      <c r="D3008" s="7"/>
      <c r="E3008" s="7">
        <f t="shared" si="52"/>
        <v>7278.1944263000005</v>
      </c>
      <c r="F3008" s="7"/>
      <c r="G3008" s="7">
        <f>0.54857*C2995</f>
        <v>2075.1689959</v>
      </c>
      <c r="H3008" s="2"/>
      <c r="I3008" s="7">
        <f>0.53049*C2995</f>
        <v>2006.7747063</v>
      </c>
      <c r="J3008" s="2"/>
      <c r="K3008" s="7">
        <f>0.60599*K2995</f>
        <v>2292.2117141000003</v>
      </c>
      <c r="L3008" s="2"/>
      <c r="M3008" s="7">
        <f>0.239*K2995</f>
        <v>904.03901</v>
      </c>
    </row>
    <row r="3009" spans="1:13" ht="12.75">
      <c r="A3009" s="41" t="s">
        <v>148</v>
      </c>
      <c r="B3009" s="46"/>
      <c r="C3009" s="7"/>
      <c r="D3009" s="7"/>
      <c r="E3009" s="7">
        <f t="shared" si="52"/>
        <v>130</v>
      </c>
      <c r="F3009" s="7"/>
      <c r="G3009" s="7">
        <v>130</v>
      </c>
      <c r="H3009" s="2"/>
      <c r="I3009" s="7">
        <v>0</v>
      </c>
      <c r="J3009" s="2"/>
      <c r="K3009" s="7"/>
      <c r="L3009" s="2"/>
      <c r="M3009" s="7"/>
    </row>
    <row r="3010" spans="1:13" ht="12.75">
      <c r="A3010" s="41" t="s">
        <v>27</v>
      </c>
      <c r="B3010" s="46"/>
      <c r="C3010" s="7"/>
      <c r="D3010" s="7"/>
      <c r="E3010" s="7">
        <f t="shared" si="52"/>
        <v>283.33696299999997</v>
      </c>
      <c r="F3010" s="7"/>
      <c r="G3010" s="7"/>
      <c r="H3010" s="2"/>
      <c r="I3010" s="7">
        <f>0.0749*C2995</f>
        <v>283.33696299999997</v>
      </c>
      <c r="J3010" s="2"/>
      <c r="K3010" s="7"/>
      <c r="L3010" s="2"/>
      <c r="M3010" s="7"/>
    </row>
    <row r="3011" spans="1:13" ht="12.75">
      <c r="A3011" s="41" t="s">
        <v>36</v>
      </c>
      <c r="B3011" s="46"/>
      <c r="C3011" s="7"/>
      <c r="D3011" s="7"/>
      <c r="E3011" s="7">
        <f t="shared" si="52"/>
        <v>6186</v>
      </c>
      <c r="F3011" s="7"/>
      <c r="G3011" s="7"/>
      <c r="H3011" s="2" t="s">
        <v>278</v>
      </c>
      <c r="I3011" s="7">
        <v>2148</v>
      </c>
      <c r="J3011" s="2" t="s">
        <v>364</v>
      </c>
      <c r="K3011" s="7">
        <v>4038</v>
      </c>
      <c r="L3011" s="2"/>
      <c r="M3011" s="7"/>
    </row>
    <row r="3012" spans="1:13" ht="12.75">
      <c r="A3012" s="41" t="s">
        <v>58</v>
      </c>
      <c r="B3012" s="46"/>
      <c r="C3012" s="7"/>
      <c r="D3012" s="7"/>
      <c r="E3012" s="7">
        <f t="shared" si="52"/>
        <v>0</v>
      </c>
      <c r="F3012" s="7"/>
      <c r="G3012" s="7"/>
      <c r="H3012" s="2"/>
      <c r="I3012" s="7"/>
      <c r="J3012" s="2"/>
      <c r="K3012" s="7"/>
      <c r="L3012" s="2"/>
      <c r="M3012" s="7"/>
    </row>
    <row r="3013" spans="1:13" ht="12.75">
      <c r="A3013" s="41" t="s">
        <v>43</v>
      </c>
      <c r="B3013" s="46"/>
      <c r="C3013" s="7"/>
      <c r="D3013" s="7"/>
      <c r="E3013" s="7">
        <f t="shared" si="52"/>
        <v>0</v>
      </c>
      <c r="F3013" s="7"/>
      <c r="G3013" s="7"/>
      <c r="H3013" s="2"/>
      <c r="I3013" s="7"/>
      <c r="J3013" s="2"/>
      <c r="K3013" s="7"/>
      <c r="L3013" s="2"/>
      <c r="M3013" s="7"/>
    </row>
    <row r="3014" spans="1:13" ht="12.75">
      <c r="A3014" s="41" t="s">
        <v>30</v>
      </c>
      <c r="B3014" s="46"/>
      <c r="C3014" s="7"/>
      <c r="D3014" s="7"/>
      <c r="E3014" s="7">
        <f t="shared" si="52"/>
        <v>1885</v>
      </c>
      <c r="F3014" s="7"/>
      <c r="G3014" s="7"/>
      <c r="H3014" s="2"/>
      <c r="I3014" s="7">
        <v>1885</v>
      </c>
      <c r="J3014" s="2"/>
      <c r="K3014" s="7"/>
      <c r="L3014" s="2"/>
      <c r="M3014" s="7"/>
    </row>
    <row r="3015" spans="1:13" ht="12.75">
      <c r="A3015" s="41" t="s">
        <v>54</v>
      </c>
      <c r="B3015" s="46"/>
      <c r="C3015" s="7"/>
      <c r="D3015" s="7"/>
      <c r="E3015" s="7">
        <f t="shared" si="52"/>
        <v>74.144252</v>
      </c>
      <c r="F3015" s="7"/>
      <c r="G3015" s="7">
        <f>0.0196*C2995</f>
        <v>74.144252</v>
      </c>
      <c r="H3015" s="2"/>
      <c r="I3015" s="7"/>
      <c r="J3015" s="2"/>
      <c r="K3015" s="7"/>
      <c r="L3015" s="2"/>
      <c r="M3015" s="7"/>
    </row>
    <row r="3016" spans="1:13" ht="13.5" thickBot="1">
      <c r="A3016" s="48" t="s">
        <v>55</v>
      </c>
      <c r="B3016" s="49"/>
      <c r="C3016" s="50"/>
      <c r="D3016" s="50"/>
      <c r="E3016" s="50">
        <f t="shared" si="52"/>
        <v>306.40897</v>
      </c>
      <c r="F3016" s="50"/>
      <c r="G3016" s="50"/>
      <c r="H3016" s="22"/>
      <c r="I3016" s="50">
        <f>0.0685*C2995</f>
        <v>259.126595</v>
      </c>
      <c r="J3016" s="22"/>
      <c r="K3016" s="50">
        <f>0.0125*K2995</f>
        <v>47.282375</v>
      </c>
      <c r="L3016" s="22"/>
      <c r="M3016" s="50"/>
    </row>
    <row r="3017" spans="1:13" ht="13.5" thickBot="1">
      <c r="A3017" s="51" t="s">
        <v>76</v>
      </c>
      <c r="B3017" s="81"/>
      <c r="C3017" s="63"/>
      <c r="D3017" s="63"/>
      <c r="E3017" s="63">
        <f t="shared" si="52"/>
        <v>273331.5003771</v>
      </c>
      <c r="F3017" s="63"/>
      <c r="G3017" s="63">
        <f>G3002+G3004</f>
        <v>66972.34082879999</v>
      </c>
      <c r="H3017" s="26"/>
      <c r="I3017" s="63">
        <f>I3002+I3004</f>
        <v>76234.04905520001</v>
      </c>
      <c r="J3017" s="26"/>
      <c r="K3017" s="63">
        <f>K3002+K3004</f>
        <v>69283.6405602</v>
      </c>
      <c r="L3017" s="26"/>
      <c r="M3017" s="29">
        <f>M3002+M3004</f>
        <v>60841.4699329</v>
      </c>
    </row>
    <row r="3018" spans="1:13" ht="21.75">
      <c r="A3018" s="54" t="s">
        <v>15</v>
      </c>
      <c r="B3018" s="55"/>
      <c r="C3018" s="66"/>
      <c r="D3018" s="66"/>
      <c r="E3018" s="56">
        <f t="shared" si="52"/>
        <v>0</v>
      </c>
      <c r="F3018" s="66"/>
      <c r="G3018" s="56"/>
      <c r="H3018" s="74"/>
      <c r="I3018" s="56"/>
      <c r="J3018" s="74"/>
      <c r="K3018" s="56"/>
      <c r="L3018" s="74"/>
      <c r="M3018" s="56"/>
    </row>
    <row r="3019" spans="1:13" ht="12.75">
      <c r="A3019" s="41" t="s">
        <v>17</v>
      </c>
      <c r="B3019" s="46"/>
      <c r="C3019" s="7"/>
      <c r="D3019" s="7"/>
      <c r="E3019" s="7">
        <f t="shared" si="52"/>
        <v>106943.38248930001</v>
      </c>
      <c r="F3019" s="7"/>
      <c r="G3019" s="7">
        <f>6.73321*C2995</f>
        <v>25470.8581127</v>
      </c>
      <c r="H3019" s="2"/>
      <c r="I3019" s="7">
        <f>7.02207*C2995</f>
        <v>26563.5779409</v>
      </c>
      <c r="J3019" s="2"/>
      <c r="K3019" s="7">
        <f>7.2754*K2995</f>
        <v>27519.855286</v>
      </c>
      <c r="L3019" s="2"/>
      <c r="M3019" s="7">
        <f>7.24083*K2995</f>
        <v>27389.0911497</v>
      </c>
    </row>
    <row r="3020" spans="1:13" ht="12.75">
      <c r="A3020" s="41" t="s">
        <v>34</v>
      </c>
      <c r="B3020" s="46"/>
      <c r="C3020" s="71"/>
      <c r="D3020" s="7"/>
      <c r="E3020" s="7">
        <f t="shared" si="52"/>
        <v>0</v>
      </c>
      <c r="F3020" s="7"/>
      <c r="G3020" s="7"/>
      <c r="H3020" s="2"/>
      <c r="I3020" s="7"/>
      <c r="J3020" s="2"/>
      <c r="K3020" s="7"/>
      <c r="L3020" s="2"/>
      <c r="M3020" s="7"/>
    </row>
    <row r="3021" spans="1:13" ht="12.75">
      <c r="A3021" s="41" t="s">
        <v>67</v>
      </c>
      <c r="B3021" s="46"/>
      <c r="C3021" s="7"/>
      <c r="D3021" s="7"/>
      <c r="E3021" s="7">
        <f t="shared" si="52"/>
        <v>2580</v>
      </c>
      <c r="F3021" s="7"/>
      <c r="G3021" s="7">
        <v>1420</v>
      </c>
      <c r="H3021" s="2"/>
      <c r="I3021" s="7">
        <v>1160</v>
      </c>
      <c r="J3021" s="2"/>
      <c r="K3021" s="7"/>
      <c r="L3021" s="2"/>
      <c r="M3021" s="7"/>
    </row>
    <row r="3022" spans="1:13" ht="12.75">
      <c r="A3022" s="41" t="s">
        <v>68</v>
      </c>
      <c r="B3022" s="46"/>
      <c r="C3022" s="7"/>
      <c r="D3022" s="7"/>
      <c r="E3022" s="7">
        <f t="shared" si="52"/>
        <v>263</v>
      </c>
      <c r="F3022" s="7"/>
      <c r="G3022" s="7"/>
      <c r="H3022" s="2"/>
      <c r="I3022" s="7"/>
      <c r="J3022" s="2"/>
      <c r="K3022" s="7">
        <v>263</v>
      </c>
      <c r="L3022" s="2"/>
      <c r="M3022" s="7"/>
    </row>
    <row r="3023" spans="1:13" ht="12.75">
      <c r="A3023" s="41" t="s">
        <v>69</v>
      </c>
      <c r="B3023" s="46"/>
      <c r="C3023" s="7"/>
      <c r="D3023" s="7"/>
      <c r="E3023" s="7">
        <f t="shared" si="52"/>
        <v>0</v>
      </c>
      <c r="F3023" s="7"/>
      <c r="G3023" s="7"/>
      <c r="H3023" s="2"/>
      <c r="I3023" s="7"/>
      <c r="J3023" s="2"/>
      <c r="K3023" s="7"/>
      <c r="L3023" s="2"/>
      <c r="M3023" s="7"/>
    </row>
    <row r="3024" spans="1:13" ht="12.75">
      <c r="A3024" s="41" t="s">
        <v>26</v>
      </c>
      <c r="B3024" s="46"/>
      <c r="C3024" s="7"/>
      <c r="D3024" s="7"/>
      <c r="E3024" s="7">
        <f t="shared" si="52"/>
        <v>0</v>
      </c>
      <c r="F3024" s="7"/>
      <c r="G3024" s="7"/>
      <c r="H3024" s="2"/>
      <c r="I3024" s="7"/>
      <c r="J3024" s="2"/>
      <c r="K3024" s="7"/>
      <c r="L3024" s="2"/>
      <c r="M3024" s="7"/>
    </row>
    <row r="3025" spans="1:13" ht="12.75">
      <c r="A3025" s="41" t="s">
        <v>28</v>
      </c>
      <c r="B3025" s="46"/>
      <c r="C3025" s="7"/>
      <c r="D3025" s="7"/>
      <c r="E3025" s="7">
        <f t="shared" si="52"/>
        <v>0</v>
      </c>
      <c r="F3025" s="7"/>
      <c r="G3025" s="7"/>
      <c r="H3025" s="2"/>
      <c r="I3025" s="7"/>
      <c r="J3025" s="2"/>
      <c r="K3025" s="7"/>
      <c r="L3025" s="2"/>
      <c r="M3025" s="7"/>
    </row>
    <row r="3026" spans="1:13" ht="12.75">
      <c r="A3026" s="41" t="s">
        <v>359</v>
      </c>
      <c r="B3026" s="46"/>
      <c r="C3026" s="7"/>
      <c r="D3026" s="7"/>
      <c r="E3026" s="7">
        <f t="shared" si="52"/>
        <v>250</v>
      </c>
      <c r="F3026" s="7"/>
      <c r="G3026" s="7"/>
      <c r="H3026" s="2"/>
      <c r="I3026" s="7"/>
      <c r="J3026" s="2"/>
      <c r="K3026" s="7">
        <v>250</v>
      </c>
      <c r="L3026" s="2"/>
      <c r="M3026" s="7"/>
    </row>
    <row r="3027" spans="1:13" ht="12.75">
      <c r="A3027" s="41" t="s">
        <v>150</v>
      </c>
      <c r="B3027" s="46"/>
      <c r="C3027" s="7"/>
      <c r="D3027" s="7"/>
      <c r="E3027" s="7">
        <f t="shared" si="52"/>
        <v>243.5</v>
      </c>
      <c r="F3027" s="7"/>
      <c r="G3027" s="7"/>
      <c r="H3027" s="2"/>
      <c r="I3027" s="7">
        <v>133.5</v>
      </c>
      <c r="J3027" s="2"/>
      <c r="K3027" s="7"/>
      <c r="L3027" s="2"/>
      <c r="M3027" s="7">
        <v>110</v>
      </c>
    </row>
    <row r="3028" spans="1:13" ht="12.75">
      <c r="A3028" s="41" t="s">
        <v>62</v>
      </c>
      <c r="B3028" s="46"/>
      <c r="C3028" s="7"/>
      <c r="D3028" s="7"/>
      <c r="E3028" s="7">
        <f t="shared" si="52"/>
        <v>0</v>
      </c>
      <c r="F3028" s="7"/>
      <c r="G3028" s="7"/>
      <c r="H3028" s="2"/>
      <c r="I3028" s="7"/>
      <c r="J3028" s="2"/>
      <c r="K3028" s="7"/>
      <c r="L3028" s="2"/>
      <c r="M3028" s="7"/>
    </row>
    <row r="3029" spans="1:13" ht="12.75">
      <c r="A3029" s="41" t="s">
        <v>63</v>
      </c>
      <c r="B3029" s="46"/>
      <c r="C3029" s="7"/>
      <c r="D3029" s="7"/>
      <c r="E3029" s="7">
        <f t="shared" si="52"/>
        <v>0</v>
      </c>
      <c r="F3029" s="7"/>
      <c r="G3029" s="7"/>
      <c r="H3029" s="2"/>
      <c r="I3029" s="7"/>
      <c r="J3029" s="2"/>
      <c r="K3029" s="7"/>
      <c r="L3029" s="2"/>
      <c r="M3029" s="7"/>
    </row>
    <row r="3030" spans="1:13" ht="12.75">
      <c r="A3030" s="41" t="s">
        <v>66</v>
      </c>
      <c r="B3030" s="46"/>
      <c r="C3030" s="7"/>
      <c r="D3030" s="7"/>
      <c r="E3030" s="7">
        <f t="shared" si="52"/>
        <v>0</v>
      </c>
      <c r="F3030" s="7"/>
      <c r="G3030" s="7"/>
      <c r="H3030" s="2"/>
      <c r="I3030" s="7"/>
      <c r="J3030" s="2"/>
      <c r="K3030" s="7"/>
      <c r="L3030" s="2"/>
      <c r="M3030" s="7"/>
    </row>
    <row r="3031" spans="1:13" ht="12.75">
      <c r="A3031" s="41" t="s">
        <v>51</v>
      </c>
      <c r="B3031" s="46"/>
      <c r="C3031" s="7"/>
      <c r="D3031" s="7"/>
      <c r="E3031" s="7">
        <f t="shared" si="52"/>
        <v>3397</v>
      </c>
      <c r="F3031" s="7"/>
      <c r="G3031" s="7"/>
      <c r="H3031" s="2"/>
      <c r="I3031" s="7">
        <v>3397</v>
      </c>
      <c r="J3031" s="2"/>
      <c r="K3031" s="7"/>
      <c r="L3031" s="2"/>
      <c r="M3031" s="7"/>
    </row>
    <row r="3032" spans="1:13" ht="12.75">
      <c r="A3032" s="58" t="s">
        <v>52</v>
      </c>
      <c r="B3032" s="46"/>
      <c r="C3032" s="7"/>
      <c r="D3032" s="7"/>
      <c r="E3032" s="7">
        <f t="shared" si="52"/>
        <v>0</v>
      </c>
      <c r="F3032" s="7"/>
      <c r="G3032" s="7"/>
      <c r="H3032" s="2"/>
      <c r="I3032" s="7"/>
      <c r="J3032" s="2"/>
      <c r="K3032" s="7"/>
      <c r="L3032" s="2"/>
      <c r="M3032" s="7"/>
    </row>
    <row r="3033" spans="1:13" ht="12.75">
      <c r="A3033" s="41" t="s">
        <v>80</v>
      </c>
      <c r="B3033" s="46"/>
      <c r="C3033" s="7"/>
      <c r="D3033" s="7"/>
      <c r="E3033" s="7">
        <f t="shared" si="52"/>
        <v>0</v>
      </c>
      <c r="F3033" s="7"/>
      <c r="G3033" s="7"/>
      <c r="H3033" s="2"/>
      <c r="I3033" s="7"/>
      <c r="J3033" s="2"/>
      <c r="K3033" s="7"/>
      <c r="L3033" s="2"/>
      <c r="M3033" s="7"/>
    </row>
    <row r="3034" spans="1:13" ht="12.75">
      <c r="A3034" s="41" t="s">
        <v>65</v>
      </c>
      <c r="B3034" s="46"/>
      <c r="C3034" s="7"/>
      <c r="D3034" s="7"/>
      <c r="E3034" s="7">
        <f t="shared" si="52"/>
        <v>0</v>
      </c>
      <c r="F3034" s="7"/>
      <c r="G3034" s="7"/>
      <c r="H3034" s="2"/>
      <c r="I3034" s="7"/>
      <c r="J3034" s="2"/>
      <c r="K3034" s="7"/>
      <c r="L3034" s="2"/>
      <c r="M3034" s="7"/>
    </row>
    <row r="3035" spans="1:13" ht="12.75">
      <c r="A3035" s="41" t="s">
        <v>57</v>
      </c>
      <c r="B3035" s="46"/>
      <c r="C3035" s="7"/>
      <c r="D3035" s="7"/>
      <c r="E3035" s="7">
        <f t="shared" si="52"/>
        <v>2426.858377</v>
      </c>
      <c r="F3035" s="7" t="s">
        <v>169</v>
      </c>
      <c r="G3035" s="7">
        <v>2400</v>
      </c>
      <c r="H3035" s="2"/>
      <c r="I3035" s="7">
        <f>0.0071*C2995</f>
        <v>26.858377</v>
      </c>
      <c r="J3035" s="2"/>
      <c r="K3035" s="7"/>
      <c r="L3035" s="2"/>
      <c r="M3035" s="7"/>
    </row>
    <row r="3036" spans="1:13" ht="12.75">
      <c r="A3036" s="41" t="s">
        <v>33</v>
      </c>
      <c r="B3036" s="46"/>
      <c r="C3036" s="7"/>
      <c r="D3036" s="7"/>
      <c r="E3036" s="7">
        <f t="shared" si="52"/>
        <v>1237</v>
      </c>
      <c r="F3036" s="15"/>
      <c r="G3036" s="7"/>
      <c r="H3036" s="2"/>
      <c r="I3036" s="7"/>
      <c r="J3036" s="2"/>
      <c r="K3036" s="7"/>
      <c r="L3036" s="2"/>
      <c r="M3036" s="7">
        <v>1237</v>
      </c>
    </row>
    <row r="3037" spans="1:13" ht="12.75">
      <c r="A3037" s="41" t="s">
        <v>50</v>
      </c>
      <c r="B3037" s="46"/>
      <c r="C3037" s="7"/>
      <c r="D3037" s="7"/>
      <c r="E3037" s="7">
        <f t="shared" si="52"/>
        <v>4147.462872</v>
      </c>
      <c r="F3037" s="7"/>
      <c r="G3037" s="7">
        <f>0.2455*C2995</f>
        <v>928.694585</v>
      </c>
      <c r="H3037" s="2"/>
      <c r="I3037" s="7">
        <f>0.5802*C2995</f>
        <v>2194.821174</v>
      </c>
      <c r="J3037" s="2"/>
      <c r="K3037" s="7">
        <f>0.1437*K2995</f>
        <v>543.558183</v>
      </c>
      <c r="L3037" s="2"/>
      <c r="M3037" s="7">
        <f>0.127*K2995</f>
        <v>480.38893</v>
      </c>
    </row>
    <row r="3038" spans="1:13" ht="13.5" thickBot="1">
      <c r="A3038" s="48" t="s">
        <v>54</v>
      </c>
      <c r="B3038" s="49"/>
      <c r="C3038" s="50"/>
      <c r="D3038" s="50"/>
      <c r="E3038" s="50">
        <f t="shared" si="52"/>
        <v>116.505956</v>
      </c>
      <c r="F3038" s="50"/>
      <c r="G3038" s="50"/>
      <c r="H3038" s="22"/>
      <c r="I3038" s="50">
        <f>0.0078*C2995</f>
        <v>29.506386</v>
      </c>
      <c r="J3038" s="22"/>
      <c r="K3038" s="50">
        <f>0.011*K2995</f>
        <v>41.608489999999996</v>
      </c>
      <c r="L3038" s="22"/>
      <c r="M3038" s="50">
        <f>0.012*K2995</f>
        <v>45.39108</v>
      </c>
    </row>
    <row r="3039" spans="1:13" ht="13.5" thickBot="1">
      <c r="A3039" s="59" t="s">
        <v>10</v>
      </c>
      <c r="B3039" s="81"/>
      <c r="C3039" s="63"/>
      <c r="D3039" s="63"/>
      <c r="E3039" s="63">
        <f t="shared" si="52"/>
        <v>121604.7096943</v>
      </c>
      <c r="F3039" s="63"/>
      <c r="G3039" s="63">
        <f>SUM(G3019:G3038)</f>
        <v>30219.5526977</v>
      </c>
      <c r="H3039" s="26"/>
      <c r="I3039" s="63">
        <f>SUM(I3019:I3038)</f>
        <v>33505.2638779</v>
      </c>
      <c r="J3039" s="26"/>
      <c r="K3039" s="63">
        <f>SUM(K3019:K3038)</f>
        <v>28618.021959</v>
      </c>
      <c r="L3039" s="26"/>
      <c r="M3039" s="29">
        <f>SUM(M3019:M3038)</f>
        <v>29261.871159700004</v>
      </c>
    </row>
    <row r="3040" spans="1:13" ht="12.75">
      <c r="A3040" s="60" t="s">
        <v>42</v>
      </c>
      <c r="B3040" s="55"/>
      <c r="C3040" s="66"/>
      <c r="D3040" s="66"/>
      <c r="E3040" s="56">
        <f t="shared" si="52"/>
        <v>0</v>
      </c>
      <c r="F3040" s="66"/>
      <c r="G3040" s="56"/>
      <c r="H3040" s="74"/>
      <c r="I3040" s="56"/>
      <c r="J3040" s="74"/>
      <c r="K3040" s="56"/>
      <c r="L3040" s="74"/>
      <c r="M3040" s="56"/>
    </row>
    <row r="3041" spans="1:13" ht="12.75">
      <c r="A3041" s="138" t="s">
        <v>437</v>
      </c>
      <c r="B3041" s="55"/>
      <c r="C3041" s="66"/>
      <c r="D3041" s="66"/>
      <c r="E3041" s="56">
        <f t="shared" si="52"/>
        <v>267.2</v>
      </c>
      <c r="F3041" s="66"/>
      <c r="G3041" s="56"/>
      <c r="H3041" s="74"/>
      <c r="I3041" s="56"/>
      <c r="J3041" s="74"/>
      <c r="K3041" s="56"/>
      <c r="L3041" s="74"/>
      <c r="M3041" s="56">
        <v>267.2</v>
      </c>
    </row>
    <row r="3042" spans="1:13" ht="12.75">
      <c r="A3042" s="41" t="s">
        <v>56</v>
      </c>
      <c r="B3042" s="46"/>
      <c r="C3042" s="7"/>
      <c r="D3042" s="7"/>
      <c r="E3042" s="56">
        <f t="shared" si="52"/>
        <v>0</v>
      </c>
      <c r="F3042" s="7"/>
      <c r="G3042" s="7"/>
      <c r="H3042" s="2"/>
      <c r="I3042" s="7"/>
      <c r="J3042" s="2"/>
      <c r="K3042" s="7"/>
      <c r="L3042" s="2"/>
      <c r="M3042" s="7"/>
    </row>
    <row r="3043" spans="1:13" ht="13.5" thickBot="1">
      <c r="A3043" s="48" t="s">
        <v>16</v>
      </c>
      <c r="B3043" s="49"/>
      <c r="C3043" s="50"/>
      <c r="D3043" s="50"/>
      <c r="E3043" s="50">
        <f t="shared" si="52"/>
        <v>135.040955</v>
      </c>
      <c r="F3043" s="50"/>
      <c r="G3043" s="50">
        <f>0.0089*C2995</f>
        <v>33.667543</v>
      </c>
      <c r="H3043" s="22"/>
      <c r="I3043" s="50"/>
      <c r="J3043" s="22"/>
      <c r="K3043" s="50"/>
      <c r="L3043" s="22"/>
      <c r="M3043" s="50">
        <f>0.0268*K2995</f>
        <v>101.373412</v>
      </c>
    </row>
    <row r="3044" spans="1:13" ht="13.5" thickBot="1">
      <c r="A3044" s="62" t="s">
        <v>10</v>
      </c>
      <c r="B3044" s="81"/>
      <c r="C3044" s="63"/>
      <c r="D3044" s="63"/>
      <c r="E3044" s="63">
        <f t="shared" si="52"/>
        <v>402.240955</v>
      </c>
      <c r="F3044" s="63"/>
      <c r="G3044" s="63">
        <f>SUM(G3042:G3043)</f>
        <v>33.667543</v>
      </c>
      <c r="H3044" s="26"/>
      <c r="I3044" s="63"/>
      <c r="J3044" s="26"/>
      <c r="K3044" s="63"/>
      <c r="L3044" s="26"/>
      <c r="M3044" s="29">
        <f>SUM(M3041:M3043)</f>
        <v>368.57341199999996</v>
      </c>
    </row>
    <row r="3045" spans="1:13" ht="13.5" thickBot="1">
      <c r="A3045" s="64" t="s">
        <v>29</v>
      </c>
      <c r="B3045" s="81"/>
      <c r="C3045" s="63"/>
      <c r="D3045" s="63"/>
      <c r="E3045" s="63">
        <f t="shared" si="52"/>
        <v>8672.629889</v>
      </c>
      <c r="F3045" s="63"/>
      <c r="G3045" s="63">
        <f>0.4236*C2995</f>
        <v>1602.423732</v>
      </c>
      <c r="H3045" s="26"/>
      <c r="I3045" s="63">
        <f>0.5971*C2995</f>
        <v>2258.7516769999997</v>
      </c>
      <c r="J3045" s="26"/>
      <c r="K3045" s="63"/>
      <c r="L3045" s="26"/>
      <c r="M3045" s="29">
        <f>1.272*K2995</f>
        <v>4811.45448</v>
      </c>
    </row>
    <row r="3046" spans="1:13" ht="21.75">
      <c r="A3046" s="65" t="s">
        <v>83</v>
      </c>
      <c r="B3046" s="61"/>
      <c r="C3046" s="56"/>
      <c r="D3046" s="56"/>
      <c r="E3046" s="56">
        <f t="shared" si="52"/>
        <v>404011.0809154</v>
      </c>
      <c r="F3046" s="56"/>
      <c r="G3046" s="56">
        <f>G3017+G3039+G3044+G3045</f>
        <v>98827.98480149999</v>
      </c>
      <c r="H3046" s="74"/>
      <c r="I3046" s="56">
        <f>I3017+I3039+I3044+I3045</f>
        <v>111998.0646101</v>
      </c>
      <c r="J3046" s="74"/>
      <c r="K3046" s="56">
        <f>K3017+K3039+K3044+K3045</f>
        <v>97901.6625192</v>
      </c>
      <c r="L3046" s="74"/>
      <c r="M3046" s="56">
        <f>M3017+M3039+M3044+M3045</f>
        <v>95283.3689846</v>
      </c>
    </row>
    <row r="3047" spans="1:13" ht="33.75">
      <c r="A3047" s="67" t="s">
        <v>84</v>
      </c>
      <c r="B3047" s="46"/>
      <c r="C3047" s="7"/>
      <c r="D3047" s="7"/>
      <c r="E3047" s="8">
        <f>E3046/6/C2995</f>
        <v>17.80002488918907</v>
      </c>
      <c r="F3047" s="7"/>
      <c r="G3047" s="8">
        <f>G3046/3/C2995</f>
        <v>8.70837792482956</v>
      </c>
      <c r="H3047" s="2"/>
      <c r="I3047" s="8">
        <f>I3046/3/C2995</f>
        <v>9.868879502432458</v>
      </c>
      <c r="J3047" s="2"/>
      <c r="K3047" s="8">
        <f>K3046/3/K2995</f>
        <v>8.627392211791392</v>
      </c>
      <c r="L3047" s="2"/>
      <c r="M3047" s="8">
        <f>M3046/3/K2995</f>
        <v>8.396660223515282</v>
      </c>
    </row>
    <row r="3048" spans="1:13" ht="12.75">
      <c r="A3048" s="69" t="s">
        <v>20</v>
      </c>
      <c r="B3048" s="44"/>
      <c r="C3048" s="45"/>
      <c r="D3048" s="45"/>
      <c r="E3048" s="7">
        <f>E3000-E3046</f>
        <v>-92890.8909154</v>
      </c>
      <c r="F3048" s="45"/>
      <c r="G3048" s="7">
        <f>G3000-G3046</f>
        <v>-26420.554801499995</v>
      </c>
      <c r="H3048" s="2"/>
      <c r="I3048" s="7">
        <f>I3000-I3046-26421</f>
        <v>-62581.1746101</v>
      </c>
      <c r="J3048" s="2"/>
      <c r="K3048" s="7">
        <f>K3000-K3046-62581</f>
        <v>-82685.8625192</v>
      </c>
      <c r="L3048" s="2"/>
      <c r="M3048" s="7">
        <f>M3000-M3046-82686</f>
        <v>-92891.2989846</v>
      </c>
    </row>
    <row r="3049" spans="1:13" ht="12.75">
      <c r="A3049" s="14" t="s">
        <v>24</v>
      </c>
      <c r="B3049" s="14"/>
      <c r="C3049" s="14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</row>
    <row r="3050" spans="1:13" ht="12.75">
      <c r="A3050" s="14" t="s">
        <v>35</v>
      </c>
      <c r="B3050" s="14"/>
      <c r="C3050" s="14"/>
      <c r="D3050" s="14"/>
      <c r="E3050" s="14"/>
      <c r="F3050" s="14"/>
      <c r="G3050" s="14"/>
      <c r="H3050" s="14"/>
      <c r="I3050" s="14"/>
      <c r="J3050" s="14"/>
      <c r="K3050" s="14"/>
      <c r="L3050" s="14"/>
      <c r="M3050" s="14"/>
    </row>
    <row r="3051" spans="1:13" ht="12.75">
      <c r="A3051" s="14" t="s">
        <v>25</v>
      </c>
      <c r="B3051" s="14"/>
      <c r="C3051" s="14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</row>
    <row r="3052" spans="1:13" ht="12.75">
      <c r="A3052" s="14"/>
      <c r="B3052" s="14"/>
      <c r="C3052" s="14"/>
      <c r="D3052" s="14"/>
      <c r="E3052" s="14"/>
      <c r="F3052" s="14"/>
      <c r="G3052" s="14"/>
      <c r="H3052" s="14"/>
      <c r="I3052" s="14"/>
      <c r="J3052" s="14"/>
      <c r="K3052" s="14"/>
      <c r="L3052" s="14"/>
      <c r="M3052" s="14"/>
    </row>
    <row r="3053" spans="1:13" ht="12.75">
      <c r="A3053" s="14"/>
      <c r="B3053" s="14"/>
      <c r="C3053" s="14"/>
      <c r="D3053" s="14"/>
      <c r="E3053" s="14"/>
      <c r="F3053" s="14"/>
      <c r="G3053" s="14"/>
      <c r="H3053" s="14"/>
      <c r="I3053" s="14"/>
      <c r="J3053" s="14"/>
      <c r="K3053" s="14"/>
      <c r="L3053" s="14"/>
      <c r="M3053" s="14"/>
    </row>
    <row r="3054" spans="1:13" ht="12.75">
      <c r="A3054" s="14"/>
      <c r="B3054" s="14"/>
      <c r="C3054" s="14"/>
      <c r="D3054" s="14"/>
      <c r="E3054" s="14"/>
      <c r="F3054" s="14"/>
      <c r="G3054" s="14"/>
      <c r="H3054" s="14"/>
      <c r="I3054" s="14"/>
      <c r="J3054" s="14"/>
      <c r="K3054" s="14"/>
      <c r="L3054" s="14"/>
      <c r="M3054" s="14"/>
    </row>
    <row r="3055" spans="1:13" ht="12.75">
      <c r="A3055" s="14"/>
      <c r="B3055" s="14"/>
      <c r="C3055" s="14"/>
      <c r="D3055" s="14"/>
      <c r="E3055" s="14"/>
      <c r="F3055" s="14"/>
      <c r="G3055" s="14"/>
      <c r="H3055" s="14"/>
      <c r="I3055" s="14"/>
      <c r="J3055" s="14"/>
      <c r="K3055" s="14"/>
      <c r="L3055" s="14"/>
      <c r="M3055" s="14"/>
    </row>
    <row r="3056" spans="1:13" ht="12.75">
      <c r="A3056" s="14"/>
      <c r="B3056" s="14"/>
      <c r="C3056" s="14"/>
      <c r="D3056" s="14"/>
      <c r="E3056" s="14"/>
      <c r="F3056" s="14"/>
      <c r="G3056" s="14"/>
      <c r="H3056" s="14"/>
      <c r="I3056" s="14"/>
      <c r="J3056" s="14"/>
      <c r="K3056" s="14"/>
      <c r="L3056" s="14"/>
      <c r="M3056" s="14"/>
    </row>
    <row r="3057" spans="1:13" ht="12.75">
      <c r="A3057" s="14"/>
      <c r="B3057" s="14"/>
      <c r="C3057" s="14"/>
      <c r="D3057" s="14"/>
      <c r="E3057" s="14"/>
      <c r="F3057" s="14"/>
      <c r="G3057" s="14"/>
      <c r="H3057" s="14"/>
      <c r="I3057" s="14"/>
      <c r="J3057" s="14"/>
      <c r="K3057" s="14"/>
      <c r="L3057" s="14"/>
      <c r="M3057" s="14"/>
    </row>
    <row r="3058" spans="1:13" ht="12.75">
      <c r="A3058" s="14"/>
      <c r="B3058" s="14"/>
      <c r="C3058" s="14"/>
      <c r="D3058" s="14"/>
      <c r="E3058" s="14"/>
      <c r="F3058" s="14"/>
      <c r="G3058" s="14"/>
      <c r="H3058" s="14"/>
      <c r="I3058" s="14"/>
      <c r="J3058" s="14"/>
      <c r="K3058" s="14"/>
      <c r="L3058" s="14"/>
      <c r="M3058" s="14"/>
    </row>
    <row r="3059" spans="1:13" ht="12.75">
      <c r="A3059" s="14"/>
      <c r="B3059" s="14"/>
      <c r="C3059" s="14"/>
      <c r="D3059" s="14"/>
      <c r="E3059" s="14"/>
      <c r="F3059" s="14"/>
      <c r="G3059" s="14"/>
      <c r="H3059" s="14"/>
      <c r="I3059" s="14"/>
      <c r="J3059" s="14"/>
      <c r="K3059" s="14"/>
      <c r="L3059" s="14"/>
      <c r="M3059" s="14"/>
    </row>
    <row r="3060" spans="1:13" ht="12.75">
      <c r="A3060" s="14"/>
      <c r="B3060" s="14"/>
      <c r="C3060" s="14"/>
      <c r="D3060" s="14"/>
      <c r="E3060" s="14"/>
      <c r="F3060" s="14"/>
      <c r="G3060" s="14"/>
      <c r="H3060" s="14"/>
      <c r="I3060" s="14"/>
      <c r="J3060" s="14"/>
      <c r="K3060" s="14"/>
      <c r="L3060" s="14"/>
      <c r="M3060" s="14"/>
    </row>
    <row r="3061" spans="1:13" ht="12.75">
      <c r="A3061" s="14"/>
      <c r="B3061" s="14"/>
      <c r="C3061" s="14"/>
      <c r="D3061" s="14"/>
      <c r="E3061" s="14"/>
      <c r="F3061" s="14"/>
      <c r="G3061" s="14"/>
      <c r="H3061" s="14"/>
      <c r="I3061" s="14"/>
      <c r="J3061" s="14"/>
      <c r="K3061" s="14"/>
      <c r="L3061" s="14"/>
      <c r="M3061" s="14"/>
    </row>
    <row r="3062" spans="1:13" ht="12.75">
      <c r="A3062" s="14"/>
      <c r="B3062" s="14"/>
      <c r="C3062" s="14"/>
      <c r="D3062" s="14"/>
      <c r="E3062" s="14"/>
      <c r="F3062" s="14"/>
      <c r="G3062" s="14"/>
      <c r="H3062" s="14"/>
      <c r="I3062" s="14"/>
      <c r="J3062" s="14"/>
      <c r="K3062" s="14"/>
      <c r="L3062" s="14"/>
      <c r="M3062" s="14"/>
    </row>
    <row r="3063" spans="1:13" ht="12.75">
      <c r="A3063" s="14"/>
      <c r="B3063" s="14"/>
      <c r="C3063" s="14"/>
      <c r="D3063" s="14"/>
      <c r="E3063" s="14"/>
      <c r="F3063" s="14"/>
      <c r="G3063" s="14"/>
      <c r="H3063" s="14"/>
      <c r="I3063" s="14"/>
      <c r="J3063" s="14"/>
      <c r="K3063" s="14"/>
      <c r="L3063" s="14"/>
      <c r="M3063" s="14"/>
    </row>
    <row r="3064" spans="1:13" ht="12.75">
      <c r="A3064" s="14"/>
      <c r="B3064" s="14"/>
      <c r="C3064" s="14"/>
      <c r="D3064" s="14"/>
      <c r="E3064" s="14"/>
      <c r="F3064" s="14"/>
      <c r="G3064" s="14"/>
      <c r="H3064" s="14"/>
      <c r="I3064" s="14"/>
      <c r="J3064" s="14"/>
      <c r="K3064" s="14"/>
      <c r="L3064" s="14"/>
      <c r="M3064" s="14"/>
    </row>
    <row r="3065" spans="1:13" ht="3" customHeight="1">
      <c r="A3065" s="14"/>
      <c r="B3065" s="14"/>
      <c r="C3065" s="14"/>
      <c r="D3065" s="14"/>
      <c r="E3065" s="14"/>
      <c r="F3065" s="14"/>
      <c r="G3065" s="14"/>
      <c r="H3065" s="14"/>
      <c r="I3065" s="14"/>
      <c r="J3065" s="14"/>
      <c r="K3065" s="14"/>
      <c r="L3065" s="14"/>
      <c r="M3065" s="14"/>
    </row>
    <row r="3066" spans="1:13" ht="12.75" hidden="1">
      <c r="A3066" s="14"/>
      <c r="B3066" s="14"/>
      <c r="C3066" s="14"/>
      <c r="D3066" s="14"/>
      <c r="E3066" s="14"/>
      <c r="F3066" s="14"/>
      <c r="G3066" s="14"/>
      <c r="H3066" s="14"/>
      <c r="I3066" s="14"/>
      <c r="J3066" s="14"/>
      <c r="K3066" s="14"/>
      <c r="L3066" s="14"/>
      <c r="M3066" s="14"/>
    </row>
    <row r="3067" spans="1:13" ht="12.75" hidden="1">
      <c r="A3067" s="14"/>
      <c r="B3067" s="14"/>
      <c r="C3067" s="14"/>
      <c r="D3067" s="14"/>
      <c r="E3067" s="14"/>
      <c r="F3067" s="14"/>
      <c r="G3067" s="14"/>
      <c r="H3067" s="14"/>
      <c r="I3067" s="14"/>
      <c r="J3067" s="14"/>
      <c r="K3067" s="14"/>
      <c r="L3067" s="14"/>
      <c r="M3067" s="14"/>
    </row>
    <row r="3068" spans="1:13" ht="12.75" hidden="1">
      <c r="A3068" s="14"/>
      <c r="B3068" s="14"/>
      <c r="C3068" s="14"/>
      <c r="D3068" s="14"/>
      <c r="E3068" s="14"/>
      <c r="F3068" s="14"/>
      <c r="G3068" s="14"/>
      <c r="H3068" s="14"/>
      <c r="I3068" s="14"/>
      <c r="J3068" s="14"/>
      <c r="K3068" s="14"/>
      <c r="L3068" s="14"/>
      <c r="M3068" s="14"/>
    </row>
    <row r="3069" spans="1:13" ht="12.75" hidden="1">
      <c r="A3069" s="14"/>
      <c r="B3069" s="14"/>
      <c r="C3069" s="14"/>
      <c r="D3069" s="14"/>
      <c r="E3069" s="14"/>
      <c r="F3069" s="14"/>
      <c r="G3069" s="14"/>
      <c r="H3069" s="14"/>
      <c r="I3069" s="14"/>
      <c r="J3069" s="14"/>
      <c r="K3069" s="14"/>
      <c r="L3069" s="14"/>
      <c r="M3069" s="14"/>
    </row>
    <row r="3070" spans="1:13" ht="12.75" hidden="1">
      <c r="A3070" s="14"/>
      <c r="B3070" s="14"/>
      <c r="C3070" s="14"/>
      <c r="D3070" s="14"/>
      <c r="E3070" s="14"/>
      <c r="F3070" s="14"/>
      <c r="G3070" s="14"/>
      <c r="H3070" s="14"/>
      <c r="I3070" s="14"/>
      <c r="J3070" s="14"/>
      <c r="K3070" s="14"/>
      <c r="L3070" s="14"/>
      <c r="M3070" s="14"/>
    </row>
    <row r="3071" spans="1:13" ht="12.75" hidden="1">
      <c r="A3071" s="14"/>
      <c r="B3071" s="14"/>
      <c r="C3071" s="14"/>
      <c r="D3071" s="14"/>
      <c r="E3071" s="14"/>
      <c r="F3071" s="14"/>
      <c r="G3071" s="14"/>
      <c r="H3071" s="14"/>
      <c r="I3071" s="14"/>
      <c r="J3071" s="14"/>
      <c r="K3071" s="14"/>
      <c r="L3071" s="14"/>
      <c r="M3071" s="14"/>
    </row>
    <row r="3072" spans="1:13" ht="0.75" customHeight="1" hidden="1">
      <c r="A3072" s="14"/>
      <c r="B3072" s="14"/>
      <c r="C3072" s="14"/>
      <c r="D3072" s="14"/>
      <c r="E3072" s="14"/>
      <c r="F3072" s="14"/>
      <c r="G3072" s="14"/>
      <c r="H3072" s="14"/>
      <c r="I3072" s="14"/>
      <c r="J3072" s="14"/>
      <c r="K3072" s="14"/>
      <c r="L3072" s="14"/>
      <c r="M3072" s="14"/>
    </row>
    <row r="3073" spans="1:13" ht="12.75" hidden="1">
      <c r="A3073" s="14"/>
      <c r="B3073" s="14"/>
      <c r="C3073" s="14"/>
      <c r="D3073" s="14"/>
      <c r="E3073" s="14"/>
      <c r="F3073" s="14"/>
      <c r="G3073" s="14"/>
      <c r="H3073" s="14"/>
      <c r="I3073" s="14"/>
      <c r="J3073" s="14"/>
      <c r="K3073" s="14"/>
      <c r="L3073" s="14"/>
      <c r="M3073" s="14"/>
    </row>
    <row r="3074" spans="1:13" ht="12.75" hidden="1">
      <c r="A3074" s="14"/>
      <c r="B3074" s="14"/>
      <c r="C3074" s="14"/>
      <c r="D3074" s="14"/>
      <c r="E3074" s="14"/>
      <c r="F3074" s="14"/>
      <c r="G3074" s="14"/>
      <c r="H3074" s="14"/>
      <c r="I3074" s="14"/>
      <c r="J3074" s="14"/>
      <c r="K3074" s="14"/>
      <c r="L3074" s="14"/>
      <c r="M3074" s="14"/>
    </row>
    <row r="3075" spans="1:13" ht="12.75">
      <c r="A3075" s="31" t="s">
        <v>21</v>
      </c>
      <c r="B3075" s="31"/>
      <c r="C3075" s="14"/>
      <c r="D3075" s="14"/>
      <c r="E3075" s="14"/>
      <c r="F3075" s="14"/>
      <c r="G3075" s="14"/>
      <c r="H3075" s="14"/>
      <c r="I3075" s="14"/>
      <c r="J3075" s="14"/>
      <c r="K3075" s="14"/>
      <c r="L3075" s="14"/>
      <c r="M3075" s="14"/>
    </row>
    <row r="3076" spans="1:13" ht="12.75">
      <c r="A3076" s="14" t="s">
        <v>31</v>
      </c>
      <c r="B3076" s="14"/>
      <c r="C3076" s="14"/>
      <c r="D3076" s="14"/>
      <c r="E3076" s="14"/>
      <c r="F3076" s="14"/>
      <c r="G3076" s="14"/>
      <c r="H3076" s="14"/>
      <c r="I3076" s="14"/>
      <c r="J3076" s="14"/>
      <c r="K3076" s="14"/>
      <c r="L3076" s="14"/>
      <c r="M3076" s="14"/>
    </row>
    <row r="3077" spans="1:13" ht="12.75">
      <c r="A3077" s="14" t="s">
        <v>41</v>
      </c>
      <c r="B3077" s="14"/>
      <c r="C3077" s="14"/>
      <c r="D3077" s="14"/>
      <c r="E3077" s="14"/>
      <c r="F3077" s="14"/>
      <c r="G3077" s="14"/>
      <c r="H3077" s="14"/>
      <c r="I3077" s="14"/>
      <c r="J3077" s="14"/>
      <c r="K3077" s="14"/>
      <c r="L3077" s="14"/>
      <c r="M3077" s="14"/>
    </row>
    <row r="3078" spans="1:13" ht="12.75">
      <c r="A3078" s="14" t="s">
        <v>133</v>
      </c>
      <c r="B3078" s="14"/>
      <c r="C3078" s="14"/>
      <c r="D3078" s="14"/>
      <c r="E3078" s="14" t="s">
        <v>32</v>
      </c>
      <c r="F3078" s="14"/>
      <c r="G3078" s="14"/>
      <c r="H3078" s="14"/>
      <c r="I3078" s="14"/>
      <c r="J3078" s="14"/>
      <c r="K3078" s="14"/>
      <c r="L3078" s="14"/>
      <c r="M3078" s="14"/>
    </row>
    <row r="3079" spans="1:13" ht="12.75" customHeight="1">
      <c r="A3079" s="6" t="s">
        <v>0</v>
      </c>
      <c r="B3079" s="151" t="s">
        <v>38</v>
      </c>
      <c r="C3079" s="152"/>
      <c r="D3079" s="149" t="s">
        <v>39</v>
      </c>
      <c r="E3079" s="150"/>
      <c r="F3079" s="149" t="s">
        <v>96</v>
      </c>
      <c r="G3079" s="150"/>
      <c r="H3079" s="149" t="s">
        <v>97</v>
      </c>
      <c r="I3079" s="150"/>
      <c r="J3079" s="149" t="s">
        <v>98</v>
      </c>
      <c r="K3079" s="150"/>
      <c r="L3079" s="149" t="s">
        <v>99</v>
      </c>
      <c r="M3079" s="150"/>
    </row>
    <row r="3080" spans="1:13" ht="12.75">
      <c r="A3080" s="11" t="s">
        <v>5</v>
      </c>
      <c r="B3080" s="153"/>
      <c r="C3080" s="154"/>
      <c r="D3080" s="6" t="s">
        <v>40</v>
      </c>
      <c r="E3080" s="6" t="s">
        <v>22</v>
      </c>
      <c r="F3080" s="6" t="s">
        <v>40</v>
      </c>
      <c r="G3080" s="13" t="s">
        <v>22</v>
      </c>
      <c r="H3080" s="2"/>
      <c r="I3080" s="2"/>
      <c r="J3080" s="2"/>
      <c r="K3080" s="2"/>
      <c r="L3080" s="2"/>
      <c r="M3080" s="2"/>
    </row>
    <row r="3081" spans="1:13" ht="12.75">
      <c r="A3081" s="2" t="s">
        <v>1</v>
      </c>
      <c r="B3081" s="2"/>
      <c r="C3081" s="6">
        <v>5</v>
      </c>
      <c r="D3081" s="2"/>
      <c r="E3081" s="2"/>
      <c r="F3081" s="2"/>
      <c r="G3081" s="2"/>
      <c r="H3081" s="2"/>
      <c r="I3081" s="2"/>
      <c r="J3081" s="2"/>
      <c r="K3081" s="2"/>
      <c r="L3081" s="2"/>
      <c r="M3081" s="2"/>
    </row>
    <row r="3082" spans="1:13" ht="12.75">
      <c r="A3082" s="2" t="s">
        <v>2</v>
      </c>
      <c r="B3082" s="2"/>
      <c r="C3082" s="6">
        <v>4</v>
      </c>
      <c r="D3082" s="2"/>
      <c r="E3082" s="2"/>
      <c r="F3082" s="2"/>
      <c r="G3082" s="2"/>
      <c r="H3082" s="2"/>
      <c r="I3082" s="2"/>
      <c r="J3082" s="2"/>
      <c r="K3082" s="2"/>
      <c r="L3082" s="2"/>
      <c r="M3082" s="2"/>
    </row>
    <row r="3083" spans="1:13" ht="12.75">
      <c r="A3083" s="2" t="s">
        <v>3</v>
      </c>
      <c r="B3083" s="2"/>
      <c r="C3083" s="6">
        <v>79</v>
      </c>
      <c r="D3083" s="2"/>
      <c r="E3083" s="2"/>
      <c r="F3083" s="2"/>
      <c r="G3083" s="2"/>
      <c r="H3083" s="2"/>
      <c r="I3083" s="2"/>
      <c r="J3083" s="2"/>
      <c r="K3083" s="2"/>
      <c r="L3083" s="2"/>
      <c r="M3083" s="2"/>
    </row>
    <row r="3084" spans="1:13" ht="12.75">
      <c r="A3084" s="2" t="s">
        <v>4</v>
      </c>
      <c r="B3084" s="6"/>
      <c r="C3084" s="6">
        <v>3740.15</v>
      </c>
      <c r="D3084" s="6"/>
      <c r="E3084" s="6"/>
      <c r="F3084" s="6"/>
      <c r="G3084" s="2"/>
      <c r="H3084" s="2"/>
      <c r="I3084" s="2"/>
      <c r="J3084" s="2"/>
      <c r="K3084" s="2">
        <v>3735.51</v>
      </c>
      <c r="L3084" s="2"/>
      <c r="M3084" s="2"/>
    </row>
    <row r="3085" spans="1:13" ht="21.75">
      <c r="A3085" s="35" t="s">
        <v>6</v>
      </c>
      <c r="B3085" s="11" t="s">
        <v>40</v>
      </c>
      <c r="C3085" s="2" t="s">
        <v>22</v>
      </c>
      <c r="D3085" s="2"/>
      <c r="E3085" s="2"/>
      <c r="F3085" s="2"/>
      <c r="G3085" s="2"/>
      <c r="H3085" s="2"/>
      <c r="I3085" s="2"/>
      <c r="J3085" s="2"/>
      <c r="K3085" s="2"/>
      <c r="L3085" s="2"/>
      <c r="M3085" s="2"/>
    </row>
    <row r="3086" spans="1:13" ht="22.5">
      <c r="A3086" s="40" t="s">
        <v>7</v>
      </c>
      <c r="B3086" s="3"/>
      <c r="C3086" s="6"/>
      <c r="D3086" s="6"/>
      <c r="E3086" s="6">
        <f>G3086+I3086+K3086+M3086</f>
        <v>451689.01</v>
      </c>
      <c r="F3086" s="2"/>
      <c r="G3086" s="2">
        <v>99183.04</v>
      </c>
      <c r="H3086" s="2"/>
      <c r="I3086" s="2">
        <v>119795.76</v>
      </c>
      <c r="J3086" s="2"/>
      <c r="K3086" s="2">
        <v>114885.11</v>
      </c>
      <c r="L3086" s="2"/>
      <c r="M3086" s="2">
        <v>117825.1</v>
      </c>
    </row>
    <row r="3087" spans="1:13" ht="12.75">
      <c r="A3087" s="41" t="s">
        <v>8</v>
      </c>
      <c r="B3087" s="3"/>
      <c r="C3087" s="6"/>
      <c r="D3087" s="6"/>
      <c r="E3087" s="6"/>
      <c r="F3087" s="2"/>
      <c r="G3087" s="2"/>
      <c r="H3087" s="2"/>
      <c r="I3087" s="2"/>
      <c r="J3087" s="2"/>
      <c r="K3087" s="2"/>
      <c r="L3087" s="2"/>
      <c r="M3087" s="2"/>
    </row>
    <row r="3088" spans="1:13" ht="12.75">
      <c r="A3088" s="41" t="s">
        <v>9</v>
      </c>
      <c r="B3088" s="3"/>
      <c r="C3088" s="6"/>
      <c r="D3088" s="6"/>
      <c r="E3088" s="6"/>
      <c r="F3088" s="2"/>
      <c r="G3088" s="2"/>
      <c r="H3088" s="2"/>
      <c r="I3088" s="2"/>
      <c r="J3088" s="2"/>
      <c r="K3088" s="2"/>
      <c r="L3088" s="2"/>
      <c r="M3088" s="2"/>
    </row>
    <row r="3089" spans="1:13" ht="12.75">
      <c r="A3089" s="2" t="s">
        <v>10</v>
      </c>
      <c r="B3089" s="42"/>
      <c r="C3089" s="11"/>
      <c r="D3089" s="11"/>
      <c r="E3089" s="11">
        <f>SUM(E3086:E3088)</f>
        <v>451689.01</v>
      </c>
      <c r="F3089" s="37"/>
      <c r="G3089" s="37">
        <f>SUM(G3086:G3088)</f>
        <v>99183.04</v>
      </c>
      <c r="H3089" s="2"/>
      <c r="I3089" s="2">
        <f>SUM(I3086:I3088)</f>
        <v>119795.76</v>
      </c>
      <c r="J3089" s="2"/>
      <c r="K3089" s="2">
        <f>SUM(K3086:K3088)</f>
        <v>114885.11</v>
      </c>
      <c r="L3089" s="2"/>
      <c r="M3089" s="2">
        <f>SUM(M3086:M3088)</f>
        <v>117825.1</v>
      </c>
    </row>
    <row r="3090" spans="1:13" ht="21.75">
      <c r="A3090" s="35" t="s">
        <v>82</v>
      </c>
      <c r="B3090" s="4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</row>
    <row r="3091" spans="1:13" ht="12.75">
      <c r="A3091" s="43" t="s">
        <v>11</v>
      </c>
      <c r="B3091" s="44"/>
      <c r="C3091" s="45"/>
      <c r="D3091" s="45"/>
      <c r="E3091" s="45">
        <f>G3091+I3091+K3091+M3091</f>
        <v>121934.2398406</v>
      </c>
      <c r="F3091" s="45"/>
      <c r="G3091" s="45">
        <f>7.99407*C3084</f>
        <v>29899.0209105</v>
      </c>
      <c r="H3091" s="2"/>
      <c r="I3091" s="7">
        <f>9.57707*C3084</f>
        <v>35819.6783605</v>
      </c>
      <c r="J3091" s="2"/>
      <c r="K3091" s="7">
        <f>7.32829*K3084</f>
        <v>27374.9005779</v>
      </c>
      <c r="L3091" s="2"/>
      <c r="M3091" s="7">
        <f>7.72067*K3084</f>
        <v>28840.6399917</v>
      </c>
    </row>
    <row r="3092" spans="1:13" ht="12.75">
      <c r="A3092" s="43" t="s">
        <v>12</v>
      </c>
      <c r="B3092" s="46"/>
      <c r="C3092" s="7"/>
      <c r="D3092" s="7"/>
      <c r="E3092" s="7">
        <f aca="true" t="shared" si="53" ref="E3092:E3140">G3092+I3092+K3092+M3092</f>
        <v>0</v>
      </c>
      <c r="F3092" s="7"/>
      <c r="G3092" s="7"/>
      <c r="H3092" s="2"/>
      <c r="I3092" s="7"/>
      <c r="J3092" s="2"/>
      <c r="K3092" s="7"/>
      <c r="L3092" s="2"/>
      <c r="M3092" s="7"/>
    </row>
    <row r="3093" spans="1:13" ht="12.75">
      <c r="A3093" s="41" t="s">
        <v>13</v>
      </c>
      <c r="B3093" s="46"/>
      <c r="C3093" s="7"/>
      <c r="D3093" s="7"/>
      <c r="E3093" s="45">
        <f t="shared" si="53"/>
        <v>152340.874239</v>
      </c>
      <c r="F3093" s="45"/>
      <c r="G3093" s="45">
        <f>G3094+G3096+G3097+G3098+G3100+G3101+G3102+G3103+G3104+G3105+G3106</f>
        <v>36932.8510255</v>
      </c>
      <c r="H3093" s="2"/>
      <c r="I3093" s="7">
        <f>I3094+I3096+I3097+I3098+I3100+I3101+I3102+I3103+I3104+I3105+I3106</f>
        <v>39898.8524485</v>
      </c>
      <c r="J3093" s="2"/>
      <c r="K3093" s="7">
        <f>K3094+K3096+K3097+K3098+K3099+K3100+K3101+K3102+K3103+K3104+K3105+K3106</f>
        <v>43790.783874999994</v>
      </c>
      <c r="L3093" s="2"/>
      <c r="M3093" s="7">
        <f>M3094+M3096+M3097+M3098+M3099+M3100+M3101+M3102+M3103+M3104+M3105+M3106</f>
        <v>31718.386889999998</v>
      </c>
    </row>
    <row r="3094" spans="1:13" ht="12.75">
      <c r="A3094" s="47" t="s">
        <v>14</v>
      </c>
      <c r="B3094" s="46"/>
      <c r="C3094" s="71"/>
      <c r="D3094" s="7"/>
      <c r="E3094" s="7">
        <f t="shared" si="53"/>
        <v>132681</v>
      </c>
      <c r="F3094" s="7"/>
      <c r="G3094" s="7">
        <v>34300</v>
      </c>
      <c r="H3094" s="2"/>
      <c r="I3094" s="7">
        <v>33193</v>
      </c>
      <c r="J3094" s="2"/>
      <c r="K3094" s="7">
        <v>34812</v>
      </c>
      <c r="L3094" s="2"/>
      <c r="M3094" s="7">
        <v>30376</v>
      </c>
    </row>
    <row r="3095" spans="1:13" ht="12.75">
      <c r="A3095" s="41" t="s">
        <v>19</v>
      </c>
      <c r="B3095" s="46"/>
      <c r="C3095" s="71"/>
      <c r="D3095" s="7"/>
      <c r="E3095" s="7">
        <f t="shared" si="53"/>
        <v>87272</v>
      </c>
      <c r="F3095" s="7"/>
      <c r="G3095" s="7">
        <v>21829</v>
      </c>
      <c r="H3095" s="2"/>
      <c r="I3095" s="7">
        <v>21829</v>
      </c>
      <c r="J3095" s="2"/>
      <c r="K3095" s="7">
        <v>21807</v>
      </c>
      <c r="L3095" s="2"/>
      <c r="M3095" s="7">
        <v>21807</v>
      </c>
    </row>
    <row r="3096" spans="1:13" ht="12.75">
      <c r="A3096" s="41" t="s">
        <v>18</v>
      </c>
      <c r="B3096" s="46"/>
      <c r="C3096" s="7"/>
      <c r="D3096" s="7"/>
      <c r="E3096" s="7">
        <f t="shared" si="53"/>
        <v>1389.04</v>
      </c>
      <c r="F3096" s="7"/>
      <c r="G3096" s="7">
        <v>217.81</v>
      </c>
      <c r="H3096" s="2"/>
      <c r="I3096" s="7">
        <v>306.54</v>
      </c>
      <c r="J3096" s="2"/>
      <c r="K3096" s="7">
        <v>415.09</v>
      </c>
      <c r="L3096" s="2"/>
      <c r="M3096" s="7">
        <v>449.6</v>
      </c>
    </row>
    <row r="3097" spans="1:13" ht="12.75">
      <c r="A3097" s="41" t="s">
        <v>53</v>
      </c>
      <c r="B3097" s="46"/>
      <c r="C3097" s="7"/>
      <c r="D3097" s="7"/>
      <c r="E3097" s="7">
        <f t="shared" si="53"/>
        <v>9124.633149</v>
      </c>
      <c r="F3097" s="7"/>
      <c r="G3097" s="7">
        <f>0.54857*C3084</f>
        <v>2051.7340855</v>
      </c>
      <c r="H3097" s="2"/>
      <c r="I3097" s="7">
        <f>0.53049*C3084</f>
        <v>1984.1121735000002</v>
      </c>
      <c r="J3097" s="2"/>
      <c r="K3097" s="7">
        <v>4196</v>
      </c>
      <c r="L3097" s="2"/>
      <c r="M3097" s="7">
        <f>0.239*K3084</f>
        <v>892.78689</v>
      </c>
    </row>
    <row r="3098" spans="1:13" ht="12.75">
      <c r="A3098" s="41" t="s">
        <v>148</v>
      </c>
      <c r="B3098" s="46"/>
      <c r="C3098" s="7"/>
      <c r="D3098" s="7"/>
      <c r="E3098" s="7">
        <f t="shared" si="53"/>
        <v>290</v>
      </c>
      <c r="F3098" s="7"/>
      <c r="G3098" s="7">
        <v>290</v>
      </c>
      <c r="H3098" s="2"/>
      <c r="I3098" s="7"/>
      <c r="J3098" s="2"/>
      <c r="K3098" s="7"/>
      <c r="L3098" s="2"/>
      <c r="M3098" s="7"/>
    </row>
    <row r="3099" spans="1:13" ht="12.75">
      <c r="A3099" s="41" t="s">
        <v>248</v>
      </c>
      <c r="B3099" s="46"/>
      <c r="C3099" s="7"/>
      <c r="D3099" s="7"/>
      <c r="E3099" s="7"/>
      <c r="F3099" s="7"/>
      <c r="G3099" s="7"/>
      <c r="H3099" s="2"/>
      <c r="I3099" s="7"/>
      <c r="J3099" s="2"/>
      <c r="K3099" s="7">
        <v>1628</v>
      </c>
      <c r="L3099" s="2"/>
      <c r="M3099" s="7"/>
    </row>
    <row r="3100" spans="1:13" ht="12.75">
      <c r="A3100" s="41" t="s">
        <v>27</v>
      </c>
      <c r="B3100" s="46"/>
      <c r="C3100" s="7"/>
      <c r="D3100" s="7"/>
      <c r="E3100" s="7">
        <f t="shared" si="53"/>
        <v>1310</v>
      </c>
      <c r="F3100" s="7"/>
      <c r="G3100" s="7"/>
      <c r="H3100" s="2"/>
      <c r="I3100" s="7">
        <v>730</v>
      </c>
      <c r="J3100" s="2"/>
      <c r="K3100" s="7">
        <v>580</v>
      </c>
      <c r="L3100" s="2"/>
      <c r="M3100" s="7"/>
    </row>
    <row r="3101" spans="1:13" ht="12.75">
      <c r="A3101" s="41" t="s">
        <v>36</v>
      </c>
      <c r="B3101" s="46"/>
      <c r="C3101" s="7"/>
      <c r="D3101" s="7"/>
      <c r="E3101" s="7">
        <f t="shared" si="53"/>
        <v>3914</v>
      </c>
      <c r="F3101" s="7"/>
      <c r="G3101" s="7"/>
      <c r="H3101" s="2" t="s">
        <v>279</v>
      </c>
      <c r="I3101" s="7">
        <v>1801</v>
      </c>
      <c r="J3101" s="2" t="s">
        <v>366</v>
      </c>
      <c r="K3101" s="7">
        <v>2113</v>
      </c>
      <c r="L3101" s="2"/>
      <c r="M3101" s="7"/>
    </row>
    <row r="3102" spans="1:13" ht="12.75">
      <c r="A3102" s="41" t="s">
        <v>248</v>
      </c>
      <c r="B3102" s="46"/>
      <c r="C3102" s="7"/>
      <c r="D3102" s="7"/>
      <c r="E3102" s="7">
        <f t="shared" si="53"/>
        <v>1628</v>
      </c>
      <c r="F3102" s="7"/>
      <c r="G3102" s="7"/>
      <c r="H3102" s="2"/>
      <c r="I3102" s="7">
        <v>1628</v>
      </c>
      <c r="J3102" s="2"/>
      <c r="K3102" s="7"/>
      <c r="L3102" s="2"/>
      <c r="M3102" s="7"/>
    </row>
    <row r="3103" spans="1:13" ht="12.75">
      <c r="A3103" s="41" t="s">
        <v>43</v>
      </c>
      <c r="B3103" s="46"/>
      <c r="C3103" s="7"/>
      <c r="D3103" s="7"/>
      <c r="E3103" s="7">
        <f t="shared" si="53"/>
        <v>0</v>
      </c>
      <c r="F3103" s="7"/>
      <c r="G3103" s="7"/>
      <c r="H3103" s="2"/>
      <c r="I3103" s="7"/>
      <c r="J3103" s="2"/>
      <c r="K3103" s="7"/>
      <c r="L3103" s="2"/>
      <c r="M3103" s="7"/>
    </row>
    <row r="3104" spans="1:13" ht="12.75">
      <c r="A3104" s="41" t="s">
        <v>30</v>
      </c>
      <c r="B3104" s="46"/>
      <c r="C3104" s="7"/>
      <c r="D3104" s="7"/>
      <c r="E3104" s="7">
        <f t="shared" si="53"/>
        <v>0</v>
      </c>
      <c r="F3104" s="7"/>
      <c r="G3104" s="7"/>
      <c r="H3104" s="2"/>
      <c r="I3104" s="7"/>
      <c r="J3104" s="2"/>
      <c r="K3104" s="7"/>
      <c r="L3104" s="2"/>
      <c r="M3104" s="7"/>
    </row>
    <row r="3105" spans="1:13" ht="12.75">
      <c r="A3105" s="41" t="s">
        <v>54</v>
      </c>
      <c r="B3105" s="46"/>
      <c r="C3105" s="7"/>
      <c r="D3105" s="7"/>
      <c r="E3105" s="7">
        <f t="shared" si="53"/>
        <v>73.30694</v>
      </c>
      <c r="F3105" s="7"/>
      <c r="G3105" s="7">
        <f>0.0196*C3084</f>
        <v>73.30694</v>
      </c>
      <c r="H3105" s="2"/>
      <c r="I3105" s="7"/>
      <c r="J3105" s="2"/>
      <c r="K3105" s="7"/>
      <c r="L3105" s="2"/>
      <c r="M3105" s="7"/>
    </row>
    <row r="3106" spans="1:13" ht="13.5" thickBot="1">
      <c r="A3106" s="48" t="s">
        <v>55</v>
      </c>
      <c r="B3106" s="49"/>
      <c r="C3106" s="50"/>
      <c r="D3106" s="50"/>
      <c r="E3106" s="50">
        <f t="shared" si="53"/>
        <v>302.89415</v>
      </c>
      <c r="F3106" s="50"/>
      <c r="G3106" s="50"/>
      <c r="H3106" s="22"/>
      <c r="I3106" s="50">
        <f>0.0685*C3084</f>
        <v>256.20027500000003</v>
      </c>
      <c r="J3106" s="22"/>
      <c r="K3106" s="50">
        <f>0.0125*K3084</f>
        <v>46.693875000000006</v>
      </c>
      <c r="L3106" s="22"/>
      <c r="M3106" s="50"/>
    </row>
    <row r="3107" spans="1:13" ht="13.5" thickBot="1">
      <c r="A3107" s="51" t="s">
        <v>76</v>
      </c>
      <c r="B3107" s="81"/>
      <c r="C3107" s="63"/>
      <c r="D3107" s="63"/>
      <c r="E3107" s="63">
        <f t="shared" si="53"/>
        <v>274275.11407959997</v>
      </c>
      <c r="F3107" s="63"/>
      <c r="G3107" s="63">
        <f>G3091+G3093</f>
        <v>66831.871936</v>
      </c>
      <c r="H3107" s="26"/>
      <c r="I3107" s="63">
        <f>I3093+I3091</f>
        <v>75718.530809</v>
      </c>
      <c r="J3107" s="26"/>
      <c r="K3107" s="63">
        <f>K3091+K3093</f>
        <v>71165.6844529</v>
      </c>
      <c r="L3107" s="26"/>
      <c r="M3107" s="29">
        <f>M3091+M3093</f>
        <v>60559.0268817</v>
      </c>
    </row>
    <row r="3108" spans="1:13" ht="21.75">
      <c r="A3108" s="54" t="s">
        <v>15</v>
      </c>
      <c r="B3108" s="55"/>
      <c r="C3108" s="66"/>
      <c r="D3108" s="66"/>
      <c r="E3108" s="56">
        <f t="shared" si="53"/>
        <v>0</v>
      </c>
      <c r="F3108" s="66"/>
      <c r="G3108" s="56"/>
      <c r="H3108" s="74"/>
      <c r="I3108" s="56"/>
      <c r="J3108" s="74"/>
      <c r="K3108" s="56"/>
      <c r="L3108" s="74"/>
      <c r="M3108" s="56"/>
    </row>
    <row r="3109" spans="1:13" ht="12.75">
      <c r="A3109" s="41" t="s">
        <v>17</v>
      </c>
      <c r="B3109" s="46"/>
      <c r="C3109" s="7"/>
      <c r="D3109" s="7"/>
      <c r="E3109" s="7">
        <f t="shared" si="53"/>
        <v>105672.3328193</v>
      </c>
      <c r="F3109" s="7"/>
      <c r="G3109" s="7">
        <f>6.73321*C3084</f>
        <v>25183.2153815</v>
      </c>
      <c r="H3109" s="2"/>
      <c r="I3109" s="7">
        <f>7.02207*C3084</f>
        <v>26263.595110500002</v>
      </c>
      <c r="J3109" s="2"/>
      <c r="K3109" s="7">
        <f>7.2754*K3084</f>
        <v>27177.329454000002</v>
      </c>
      <c r="L3109" s="2"/>
      <c r="M3109" s="7">
        <f>7.24083*K3084</f>
        <v>27048.192873300002</v>
      </c>
    </row>
    <row r="3110" spans="1:13" ht="12.75">
      <c r="A3110" s="41" t="s">
        <v>34</v>
      </c>
      <c r="B3110" s="46"/>
      <c r="C3110" s="71"/>
      <c r="D3110" s="7"/>
      <c r="E3110" s="7">
        <f t="shared" si="53"/>
        <v>0</v>
      </c>
      <c r="F3110" s="7"/>
      <c r="G3110" s="7"/>
      <c r="H3110" s="2"/>
      <c r="I3110" s="7"/>
      <c r="J3110" s="2"/>
      <c r="K3110" s="7"/>
      <c r="L3110" s="2"/>
      <c r="M3110" s="7"/>
    </row>
    <row r="3111" spans="1:13" ht="12.75">
      <c r="A3111" s="41" t="s">
        <v>67</v>
      </c>
      <c r="B3111" s="46"/>
      <c r="C3111" s="7"/>
      <c r="D3111" s="7"/>
      <c r="E3111" s="7">
        <f t="shared" si="53"/>
        <v>25971.4</v>
      </c>
      <c r="F3111" s="7"/>
      <c r="G3111" s="7">
        <v>16298.4</v>
      </c>
      <c r="H3111" s="2"/>
      <c r="I3111" s="7">
        <v>4539</v>
      </c>
      <c r="J3111" s="2"/>
      <c r="K3111" s="7"/>
      <c r="L3111" s="2"/>
      <c r="M3111" s="7">
        <v>5134</v>
      </c>
    </row>
    <row r="3112" spans="1:13" ht="12.75">
      <c r="A3112" s="41" t="s">
        <v>68</v>
      </c>
      <c r="B3112" s="46"/>
      <c r="C3112" s="7"/>
      <c r="D3112" s="7"/>
      <c r="E3112" s="7">
        <f t="shared" si="53"/>
        <v>1809</v>
      </c>
      <c r="F3112" s="7"/>
      <c r="G3112" s="7">
        <v>1761.5</v>
      </c>
      <c r="H3112" s="2"/>
      <c r="I3112" s="7">
        <v>47.5</v>
      </c>
      <c r="J3112" s="2"/>
      <c r="K3112" s="7"/>
      <c r="L3112" s="2"/>
      <c r="M3112" s="7"/>
    </row>
    <row r="3113" spans="1:13" ht="12.75">
      <c r="A3113" s="41" t="s">
        <v>69</v>
      </c>
      <c r="B3113" s="46"/>
      <c r="C3113" s="7"/>
      <c r="D3113" s="7"/>
      <c r="E3113" s="7">
        <f t="shared" si="53"/>
        <v>0</v>
      </c>
      <c r="F3113" s="7"/>
      <c r="G3113" s="7"/>
      <c r="H3113" s="2"/>
      <c r="I3113" s="7"/>
      <c r="J3113" s="2"/>
      <c r="K3113" s="7"/>
      <c r="L3113" s="2"/>
      <c r="M3113" s="7"/>
    </row>
    <row r="3114" spans="1:13" ht="12.75">
      <c r="A3114" s="41" t="s">
        <v>26</v>
      </c>
      <c r="B3114" s="46"/>
      <c r="C3114" s="7"/>
      <c r="D3114" s="7"/>
      <c r="E3114" s="7">
        <f t="shared" si="53"/>
        <v>207</v>
      </c>
      <c r="F3114" s="7"/>
      <c r="G3114" s="7"/>
      <c r="H3114" s="2"/>
      <c r="I3114" s="7"/>
      <c r="J3114" s="2"/>
      <c r="K3114" s="7"/>
      <c r="L3114" s="2"/>
      <c r="M3114" s="7">
        <v>207</v>
      </c>
    </row>
    <row r="3115" spans="1:13" ht="12.75">
      <c r="A3115" s="41" t="s">
        <v>28</v>
      </c>
      <c r="B3115" s="46"/>
      <c r="C3115" s="7"/>
      <c r="D3115" s="7"/>
      <c r="E3115" s="7">
        <f t="shared" si="53"/>
        <v>401</v>
      </c>
      <c r="F3115" s="7"/>
      <c r="G3115" s="7"/>
      <c r="H3115" s="2"/>
      <c r="I3115" s="7"/>
      <c r="J3115" s="2"/>
      <c r="K3115" s="7"/>
      <c r="L3115" s="2"/>
      <c r="M3115" s="7">
        <v>401</v>
      </c>
    </row>
    <row r="3116" spans="1:13" ht="12.75">
      <c r="A3116" s="41" t="s">
        <v>291</v>
      </c>
      <c r="B3116" s="46"/>
      <c r="C3116" s="7"/>
      <c r="D3116" s="7"/>
      <c r="E3116" s="7"/>
      <c r="F3116" s="7"/>
      <c r="G3116" s="7"/>
      <c r="H3116" s="2"/>
      <c r="I3116" s="7"/>
      <c r="J3116" s="2"/>
      <c r="K3116" s="7">
        <v>2037.5</v>
      </c>
      <c r="L3116" s="2"/>
      <c r="M3116" s="7"/>
    </row>
    <row r="3117" spans="1:13" ht="12.75">
      <c r="A3117" s="41" t="s">
        <v>60</v>
      </c>
      <c r="B3117" s="46"/>
      <c r="C3117" s="7"/>
      <c r="D3117" s="7"/>
      <c r="E3117" s="7">
        <f t="shared" si="53"/>
        <v>0</v>
      </c>
      <c r="F3117" s="7"/>
      <c r="G3117" s="7"/>
      <c r="H3117" s="2"/>
      <c r="I3117" s="7"/>
      <c r="J3117" s="2"/>
      <c r="K3117" s="7"/>
      <c r="L3117" s="2"/>
      <c r="M3117" s="7"/>
    </row>
    <row r="3118" spans="1:13" ht="12.75">
      <c r="A3118" s="41" t="s">
        <v>274</v>
      </c>
      <c r="B3118" s="46"/>
      <c r="C3118" s="7"/>
      <c r="D3118" s="7"/>
      <c r="E3118" s="7">
        <f t="shared" si="53"/>
        <v>52767</v>
      </c>
      <c r="F3118" s="7"/>
      <c r="G3118" s="7"/>
      <c r="H3118" s="2"/>
      <c r="I3118" s="7">
        <v>48832</v>
      </c>
      <c r="J3118" s="2"/>
      <c r="K3118" s="7"/>
      <c r="L3118" s="2"/>
      <c r="M3118" s="7">
        <v>3935</v>
      </c>
    </row>
    <row r="3119" spans="1:13" ht="12.75">
      <c r="A3119" s="41" t="s">
        <v>62</v>
      </c>
      <c r="B3119" s="46"/>
      <c r="C3119" s="7"/>
      <c r="D3119" s="7"/>
      <c r="E3119" s="7">
        <f t="shared" si="53"/>
        <v>0</v>
      </c>
      <c r="F3119" s="7"/>
      <c r="G3119" s="7"/>
      <c r="H3119" s="2"/>
      <c r="I3119" s="7"/>
      <c r="J3119" s="2"/>
      <c r="K3119" s="7"/>
      <c r="L3119" s="2"/>
      <c r="M3119" s="7"/>
    </row>
    <row r="3120" spans="1:13" ht="12.75">
      <c r="A3120" s="41" t="s">
        <v>63</v>
      </c>
      <c r="B3120" s="46"/>
      <c r="C3120" s="7"/>
      <c r="D3120" s="7"/>
      <c r="E3120" s="7">
        <f t="shared" si="53"/>
        <v>0</v>
      </c>
      <c r="F3120" s="7"/>
      <c r="G3120" s="7"/>
      <c r="H3120" s="2"/>
      <c r="I3120" s="7"/>
      <c r="J3120" s="2"/>
      <c r="K3120" s="7"/>
      <c r="L3120" s="2"/>
      <c r="M3120" s="7"/>
    </row>
    <row r="3121" spans="1:13" ht="12.75">
      <c r="A3121" s="41" t="s">
        <v>150</v>
      </c>
      <c r="B3121" s="46"/>
      <c r="C3121" s="7"/>
      <c r="D3121" s="7"/>
      <c r="E3121" s="7">
        <f t="shared" si="53"/>
        <v>95</v>
      </c>
      <c r="F3121" s="7"/>
      <c r="G3121" s="7"/>
      <c r="H3121" s="2"/>
      <c r="I3121" s="7">
        <v>95</v>
      </c>
      <c r="J3121" s="2"/>
      <c r="K3121" s="7"/>
      <c r="L3121" s="2"/>
      <c r="M3121" s="7"/>
    </row>
    <row r="3122" spans="1:13" ht="12.75">
      <c r="A3122" s="41" t="s">
        <v>51</v>
      </c>
      <c r="B3122" s="46"/>
      <c r="C3122" s="7"/>
      <c r="D3122" s="7"/>
      <c r="E3122" s="7">
        <f t="shared" si="53"/>
        <v>3394.46</v>
      </c>
      <c r="F3122" s="7"/>
      <c r="G3122" s="7"/>
      <c r="H3122" s="2"/>
      <c r="I3122" s="7">
        <v>3394.46</v>
      </c>
      <c r="J3122" s="2"/>
      <c r="K3122" s="7"/>
      <c r="L3122" s="2"/>
      <c r="M3122" s="7"/>
    </row>
    <row r="3123" spans="1:13" ht="12.75">
      <c r="A3123" s="58" t="s">
        <v>52</v>
      </c>
      <c r="B3123" s="46"/>
      <c r="C3123" s="7"/>
      <c r="D3123" s="7"/>
      <c r="E3123" s="7">
        <f t="shared" si="53"/>
        <v>0</v>
      </c>
      <c r="F3123" s="7"/>
      <c r="G3123" s="7"/>
      <c r="H3123" s="2"/>
      <c r="I3123" s="7"/>
      <c r="J3123" s="2"/>
      <c r="K3123" s="7"/>
      <c r="L3123" s="2"/>
      <c r="M3123" s="7"/>
    </row>
    <row r="3124" spans="1:13" ht="12.75">
      <c r="A3124" s="41" t="s">
        <v>80</v>
      </c>
      <c r="B3124" s="46"/>
      <c r="C3124" s="7"/>
      <c r="D3124" s="7"/>
      <c r="E3124" s="7">
        <f t="shared" si="53"/>
        <v>0</v>
      </c>
      <c r="F3124" s="7"/>
      <c r="G3124" s="7"/>
      <c r="H3124" s="2"/>
      <c r="I3124" s="7"/>
      <c r="J3124" s="2"/>
      <c r="K3124" s="7"/>
      <c r="L3124" s="2"/>
      <c r="M3124" s="7"/>
    </row>
    <row r="3125" spans="1:13" ht="12.75">
      <c r="A3125" s="41" t="s">
        <v>65</v>
      </c>
      <c r="B3125" s="46"/>
      <c r="C3125" s="7"/>
      <c r="D3125" s="7"/>
      <c r="E3125" s="7">
        <f t="shared" si="53"/>
        <v>0</v>
      </c>
      <c r="F3125" s="7"/>
      <c r="G3125" s="7"/>
      <c r="H3125" s="2"/>
      <c r="I3125" s="7"/>
      <c r="J3125" s="2"/>
      <c r="K3125" s="7"/>
      <c r="L3125" s="2"/>
      <c r="M3125" s="7"/>
    </row>
    <row r="3126" spans="1:13" ht="12.75">
      <c r="A3126" s="41" t="s">
        <v>57</v>
      </c>
      <c r="B3126" s="46"/>
      <c r="C3126" s="7"/>
      <c r="D3126" s="7"/>
      <c r="E3126" s="7">
        <f t="shared" si="53"/>
        <v>5426.555065</v>
      </c>
      <c r="F3126" s="7" t="s">
        <v>170</v>
      </c>
      <c r="G3126" s="7">
        <v>5400</v>
      </c>
      <c r="H3126" s="2"/>
      <c r="I3126" s="7">
        <f>0.0071*C3084</f>
        <v>26.555065000000003</v>
      </c>
      <c r="J3126" s="2"/>
      <c r="K3126" s="7"/>
      <c r="L3126" s="2"/>
      <c r="M3126" s="7"/>
    </row>
    <row r="3127" spans="1:13" ht="12.75">
      <c r="A3127" s="41" t="s">
        <v>33</v>
      </c>
      <c r="B3127" s="46"/>
      <c r="C3127" s="7"/>
      <c r="D3127" s="7"/>
      <c r="E3127" s="7">
        <f t="shared" si="53"/>
        <v>1237</v>
      </c>
      <c r="F3127" s="15"/>
      <c r="G3127" s="7"/>
      <c r="H3127" s="2"/>
      <c r="I3127" s="7"/>
      <c r="J3127" s="2"/>
      <c r="K3127" s="7"/>
      <c r="L3127" s="2"/>
      <c r="M3127" s="7">
        <v>1237</v>
      </c>
    </row>
    <row r="3128" spans="1:13" ht="12.75">
      <c r="A3128" s="41" t="s">
        <v>50</v>
      </c>
      <c r="B3128" s="46"/>
      <c r="C3128" s="7"/>
      <c r="D3128" s="7"/>
      <c r="E3128" s="7">
        <f t="shared" si="53"/>
        <v>4099.444412</v>
      </c>
      <c r="F3128" s="7"/>
      <c r="G3128" s="7">
        <f>0.2455*C3084</f>
        <v>918.206825</v>
      </c>
      <c r="H3128" s="2"/>
      <c r="I3128" s="7">
        <f>0.5802*C3084</f>
        <v>2170.0350300000005</v>
      </c>
      <c r="J3128" s="2"/>
      <c r="K3128" s="7">
        <f>0.1437*K3084</f>
        <v>536.792787</v>
      </c>
      <c r="L3128" s="2"/>
      <c r="M3128" s="7">
        <f>0.127*K3084</f>
        <v>474.40977000000004</v>
      </c>
    </row>
    <row r="3129" spans="1:13" ht="13.5" thickBot="1">
      <c r="A3129" s="48" t="s">
        <v>54</v>
      </c>
      <c r="B3129" s="49"/>
      <c r="C3129" s="50"/>
      <c r="D3129" s="50"/>
      <c r="E3129" s="50">
        <f t="shared" si="53"/>
        <v>115.0899</v>
      </c>
      <c r="F3129" s="50"/>
      <c r="G3129" s="50"/>
      <c r="H3129" s="22"/>
      <c r="I3129" s="50">
        <f>0.0078*C3084</f>
        <v>29.17317</v>
      </c>
      <c r="J3129" s="22"/>
      <c r="K3129" s="50">
        <f>0.011*K3084</f>
        <v>41.09061</v>
      </c>
      <c r="L3129" s="22"/>
      <c r="M3129" s="50">
        <f>0.012*K3084</f>
        <v>44.82612</v>
      </c>
    </row>
    <row r="3130" spans="1:13" ht="13.5" thickBot="1">
      <c r="A3130" s="59" t="s">
        <v>10</v>
      </c>
      <c r="B3130" s="81"/>
      <c r="C3130" s="63"/>
      <c r="D3130" s="63"/>
      <c r="E3130" s="63">
        <f t="shared" si="53"/>
        <v>203232.7821963</v>
      </c>
      <c r="F3130" s="63"/>
      <c r="G3130" s="63">
        <f>SUM(G3109:G3129)</f>
        <v>49561.3222065</v>
      </c>
      <c r="H3130" s="26"/>
      <c r="I3130" s="63">
        <f>SUM(I3109:I3129)</f>
        <v>85397.31837549999</v>
      </c>
      <c r="J3130" s="26"/>
      <c r="K3130" s="63">
        <f>SUM(K3109:K3129)</f>
        <v>29792.712851</v>
      </c>
      <c r="L3130" s="26"/>
      <c r="M3130" s="29">
        <f>SUM(M3109:M3129)</f>
        <v>38481.4287633</v>
      </c>
    </row>
    <row r="3131" spans="1:13" ht="12.75">
      <c r="A3131" s="60" t="s">
        <v>42</v>
      </c>
      <c r="B3131" s="55"/>
      <c r="C3131" s="66"/>
      <c r="D3131" s="66"/>
      <c r="E3131" s="56">
        <f t="shared" si="53"/>
        <v>0</v>
      </c>
      <c r="F3131" s="66"/>
      <c r="G3131" s="56"/>
      <c r="H3131" s="74"/>
      <c r="I3131" s="56"/>
      <c r="J3131" s="74"/>
      <c r="K3131" s="56"/>
      <c r="L3131" s="74"/>
      <c r="M3131" s="56"/>
    </row>
    <row r="3132" spans="1:13" ht="12.75">
      <c r="A3132" s="41" t="s">
        <v>56</v>
      </c>
      <c r="B3132" s="46"/>
      <c r="C3132" s="7"/>
      <c r="D3132" s="7"/>
      <c r="E3132" s="7">
        <f t="shared" si="53"/>
        <v>0</v>
      </c>
      <c r="F3132" s="7"/>
      <c r="G3132" s="7"/>
      <c r="H3132" s="2"/>
      <c r="I3132" s="7"/>
      <c r="J3132" s="2"/>
      <c r="K3132" s="7"/>
      <c r="L3132" s="2"/>
      <c r="M3132" s="7"/>
    </row>
    <row r="3133" spans="1:13" ht="12.75">
      <c r="A3133" s="41" t="s">
        <v>156</v>
      </c>
      <c r="B3133" s="46"/>
      <c r="C3133" s="7"/>
      <c r="D3133" s="7"/>
      <c r="E3133" s="7">
        <f t="shared" si="53"/>
        <v>1199</v>
      </c>
      <c r="F3133" s="7"/>
      <c r="G3133" s="7">
        <v>870</v>
      </c>
      <c r="H3133" s="2"/>
      <c r="I3133" s="7">
        <v>171</v>
      </c>
      <c r="J3133" s="2"/>
      <c r="K3133" s="7"/>
      <c r="L3133" s="2"/>
      <c r="M3133" s="7">
        <v>158</v>
      </c>
    </row>
    <row r="3134" spans="1:13" ht="12.75">
      <c r="A3134" s="41" t="s">
        <v>171</v>
      </c>
      <c r="B3134" s="46"/>
      <c r="C3134" s="7"/>
      <c r="D3134" s="7"/>
      <c r="E3134" s="7">
        <f t="shared" si="53"/>
        <v>5408</v>
      </c>
      <c r="F3134" s="7"/>
      <c r="G3134" s="7">
        <v>5408</v>
      </c>
      <c r="H3134" s="2"/>
      <c r="I3134" s="7"/>
      <c r="J3134" s="2"/>
      <c r="K3134" s="7"/>
      <c r="L3134" s="2"/>
      <c r="M3134" s="7"/>
    </row>
    <row r="3135" spans="1:13" ht="12.75">
      <c r="A3135" s="138" t="s">
        <v>437</v>
      </c>
      <c r="B3135" s="49"/>
      <c r="C3135" s="50"/>
      <c r="D3135" s="50"/>
      <c r="E3135" s="7">
        <f t="shared" si="53"/>
        <v>267.2</v>
      </c>
      <c r="F3135" s="50"/>
      <c r="G3135" s="50"/>
      <c r="H3135" s="22"/>
      <c r="I3135" s="50"/>
      <c r="J3135" s="22"/>
      <c r="K3135" s="50"/>
      <c r="L3135" s="22"/>
      <c r="M3135" s="50">
        <v>267.2</v>
      </c>
    </row>
    <row r="3136" spans="1:13" ht="12.75">
      <c r="A3136" s="41"/>
      <c r="B3136" s="49"/>
      <c r="C3136" s="50"/>
      <c r="D3136" s="50"/>
      <c r="E3136" s="7">
        <f t="shared" si="53"/>
        <v>0</v>
      </c>
      <c r="F3136" s="50"/>
      <c r="G3136" s="50"/>
      <c r="H3136" s="22"/>
      <c r="I3136" s="50"/>
      <c r="J3136" s="22"/>
      <c r="K3136" s="50"/>
      <c r="L3136" s="22"/>
      <c r="M3136" s="50"/>
    </row>
    <row r="3137" spans="1:13" ht="13.5" thickBot="1">
      <c r="A3137" s="48" t="s">
        <v>16</v>
      </c>
      <c r="B3137" s="49"/>
      <c r="C3137" s="50"/>
      <c r="D3137" s="50"/>
      <c r="E3137" s="7">
        <f t="shared" si="53"/>
        <v>133.399003</v>
      </c>
      <c r="F3137" s="50"/>
      <c r="G3137" s="50">
        <f>0.0089*C3084</f>
        <v>33.287335</v>
      </c>
      <c r="H3137" s="22"/>
      <c r="I3137" s="50"/>
      <c r="J3137" s="22"/>
      <c r="K3137" s="50"/>
      <c r="L3137" s="22"/>
      <c r="M3137" s="50">
        <f>0.0268*K3084</f>
        <v>100.11166800000001</v>
      </c>
    </row>
    <row r="3138" spans="1:13" ht="13.5" thickBot="1">
      <c r="A3138" s="62" t="s">
        <v>10</v>
      </c>
      <c r="B3138" s="81"/>
      <c r="C3138" s="63"/>
      <c r="D3138" s="63"/>
      <c r="E3138" s="63">
        <f t="shared" si="53"/>
        <v>7007.599003</v>
      </c>
      <c r="F3138" s="63"/>
      <c r="G3138" s="63">
        <f>SUM(G3133:G3137)</f>
        <v>6311.287335</v>
      </c>
      <c r="H3138" s="26"/>
      <c r="I3138" s="63">
        <f>SUM(I3132:I3137)</f>
        <v>171</v>
      </c>
      <c r="J3138" s="26"/>
      <c r="K3138" s="63"/>
      <c r="L3138" s="26"/>
      <c r="M3138" s="29">
        <f>SUM(M3132:M3137)</f>
        <v>525.311668</v>
      </c>
    </row>
    <row r="3139" spans="1:13" ht="13.5" thickBot="1">
      <c r="A3139" s="64" t="s">
        <v>29</v>
      </c>
      <c r="B3139" s="81"/>
      <c r="C3139" s="63"/>
      <c r="D3139" s="63"/>
      <c r="E3139" s="63">
        <f t="shared" si="53"/>
        <v>8569.139825</v>
      </c>
      <c r="F3139" s="63"/>
      <c r="G3139" s="63">
        <f>0.4236*C3084</f>
        <v>1584.32754</v>
      </c>
      <c r="H3139" s="26"/>
      <c r="I3139" s="63">
        <f>0.5971*C3084</f>
        <v>2233.2435649999998</v>
      </c>
      <c r="J3139" s="26"/>
      <c r="K3139" s="63"/>
      <c r="L3139" s="26"/>
      <c r="M3139" s="29">
        <f>1.272*K3084</f>
        <v>4751.56872</v>
      </c>
    </row>
    <row r="3140" spans="1:13" ht="21.75">
      <c r="A3140" s="65" t="s">
        <v>83</v>
      </c>
      <c r="B3140" s="61"/>
      <c r="C3140" s="56"/>
      <c r="D3140" s="56"/>
      <c r="E3140" s="56">
        <f t="shared" si="53"/>
        <v>493084.6351039</v>
      </c>
      <c r="F3140" s="56"/>
      <c r="G3140" s="56">
        <f>G3107+G3130+G3138+G3139</f>
        <v>124288.8090175</v>
      </c>
      <c r="H3140" s="74"/>
      <c r="I3140" s="56">
        <f>I3107+I3130+I3138+I3139</f>
        <v>163520.0927495</v>
      </c>
      <c r="J3140" s="74"/>
      <c r="K3140" s="56">
        <f>K3107+K3130+K3138+K3139</f>
        <v>100958.3973039</v>
      </c>
      <c r="L3140" s="74"/>
      <c r="M3140" s="56">
        <f>M3107+M3130+M3138+M3139</f>
        <v>104317.336033</v>
      </c>
    </row>
    <row r="3141" spans="1:13" ht="33.75">
      <c r="A3141" s="67" t="s">
        <v>84</v>
      </c>
      <c r="B3141" s="46"/>
      <c r="C3141" s="7"/>
      <c r="D3141" s="7"/>
      <c r="E3141" s="8">
        <f>E3140/12/C3084</f>
        <v>10.986293667007562</v>
      </c>
      <c r="F3141" s="7"/>
      <c r="G3141" s="8">
        <f>G3140/3/C3084</f>
        <v>11.076989694486407</v>
      </c>
      <c r="H3141" s="2"/>
      <c r="I3141" s="8">
        <f>I3140/3/C3084</f>
        <v>14.573398816402195</v>
      </c>
      <c r="J3141" s="2"/>
      <c r="K3141" s="8">
        <f>K3140/3/K3084</f>
        <v>9.008890111738424</v>
      </c>
      <c r="L3141" s="2"/>
      <c r="M3141" s="8">
        <f>M3140/3/K3084</f>
        <v>9.308620601827684</v>
      </c>
    </row>
    <row r="3142" spans="1:13" ht="12.75">
      <c r="A3142" s="69" t="s">
        <v>20</v>
      </c>
      <c r="B3142" s="44"/>
      <c r="C3142" s="45"/>
      <c r="D3142" s="45"/>
      <c r="E3142" s="45">
        <f>E3089-E3140</f>
        <v>-41395.625103899976</v>
      </c>
      <c r="F3142" s="45"/>
      <c r="G3142" s="7">
        <f>G3089-G3140</f>
        <v>-25105.769017500003</v>
      </c>
      <c r="H3142" s="2"/>
      <c r="I3142" s="7">
        <f>I3089-I3140-25106</f>
        <v>-68830.33274950001</v>
      </c>
      <c r="J3142" s="2"/>
      <c r="K3142" s="7">
        <f>K3089-K3140-68830</f>
        <v>-54903.2873039</v>
      </c>
      <c r="L3142" s="2"/>
      <c r="M3142" s="7">
        <f>M3089-M3140-54903</f>
        <v>-41395.236032999994</v>
      </c>
    </row>
    <row r="3143" spans="1:13" ht="12.75">
      <c r="A3143" s="14" t="s">
        <v>24</v>
      </c>
      <c r="B3143" s="14"/>
      <c r="C3143" s="14"/>
      <c r="D3143" s="14"/>
      <c r="E3143" s="14"/>
      <c r="F3143" s="14"/>
      <c r="G3143" s="14"/>
      <c r="H3143" s="14"/>
      <c r="I3143" s="14"/>
      <c r="J3143" s="14"/>
      <c r="K3143" s="14"/>
      <c r="L3143" s="14"/>
      <c r="M3143" s="14"/>
    </row>
    <row r="3144" spans="1:13" ht="12.75">
      <c r="A3144" s="14" t="s">
        <v>35</v>
      </c>
      <c r="B3144" s="14"/>
      <c r="C3144" s="14"/>
      <c r="D3144" s="14"/>
      <c r="E3144" s="14"/>
      <c r="F3144" s="14"/>
      <c r="G3144" s="14"/>
      <c r="H3144" s="14"/>
      <c r="I3144" s="14"/>
      <c r="J3144" s="14"/>
      <c r="K3144" s="14"/>
      <c r="L3144" s="14"/>
      <c r="M3144" s="14"/>
    </row>
    <row r="3145" spans="1:13" ht="12.75">
      <c r="A3145" s="14" t="s">
        <v>25</v>
      </c>
      <c r="B3145" s="14"/>
      <c r="C3145" s="14"/>
      <c r="D3145" s="14"/>
      <c r="E3145" s="14"/>
      <c r="F3145" s="14"/>
      <c r="G3145" s="14"/>
      <c r="H3145" s="14"/>
      <c r="I3145" s="14"/>
      <c r="J3145" s="14"/>
      <c r="K3145" s="14"/>
      <c r="L3145" s="14"/>
      <c r="M3145" s="14"/>
    </row>
    <row r="3146" spans="1:13" ht="12.75">
      <c r="A3146" s="14"/>
      <c r="B3146" s="14"/>
      <c r="C3146" s="14"/>
      <c r="D3146" s="14"/>
      <c r="E3146" s="14"/>
      <c r="F3146" s="14"/>
      <c r="G3146" s="14"/>
      <c r="H3146" s="14"/>
      <c r="I3146" s="14"/>
      <c r="J3146" s="14"/>
      <c r="K3146" s="14"/>
      <c r="L3146" s="14"/>
      <c r="M3146" s="14"/>
    </row>
    <row r="3147" spans="1:13" ht="12.75">
      <c r="A3147" s="14"/>
      <c r="B3147" s="14"/>
      <c r="C3147" s="14"/>
      <c r="D3147" s="14"/>
      <c r="E3147" s="14"/>
      <c r="F3147" s="14"/>
      <c r="G3147" s="14"/>
      <c r="H3147" s="14"/>
      <c r="I3147" s="14"/>
      <c r="J3147" s="14"/>
      <c r="K3147" s="14"/>
      <c r="L3147" s="14"/>
      <c r="M3147" s="14"/>
    </row>
    <row r="3148" spans="1:13" ht="12.75">
      <c r="A3148" s="14"/>
      <c r="B3148" s="14"/>
      <c r="C3148" s="14"/>
      <c r="D3148" s="14"/>
      <c r="E3148" s="14"/>
      <c r="F3148" s="14"/>
      <c r="G3148" s="14"/>
      <c r="H3148" s="14"/>
      <c r="I3148" s="14"/>
      <c r="J3148" s="14"/>
      <c r="K3148" s="14"/>
      <c r="L3148" s="14"/>
      <c r="M3148" s="14"/>
    </row>
    <row r="3149" spans="1:13" ht="12.75">
      <c r="A3149" s="14"/>
      <c r="B3149" s="14"/>
      <c r="C3149" s="14"/>
      <c r="D3149" s="14"/>
      <c r="E3149" s="14"/>
      <c r="F3149" s="14"/>
      <c r="G3149" s="14"/>
      <c r="H3149" s="14"/>
      <c r="I3149" s="14"/>
      <c r="J3149" s="14"/>
      <c r="K3149" s="14"/>
      <c r="L3149" s="14"/>
      <c r="M3149" s="14"/>
    </row>
    <row r="3150" spans="1:13" ht="12.75">
      <c r="A3150" s="14"/>
      <c r="B3150" s="14"/>
      <c r="C3150" s="14"/>
      <c r="D3150" s="14"/>
      <c r="E3150" s="14"/>
      <c r="F3150" s="14"/>
      <c r="G3150" s="14"/>
      <c r="H3150" s="14"/>
      <c r="I3150" s="14"/>
      <c r="J3150" s="14"/>
      <c r="K3150" s="14"/>
      <c r="L3150" s="14"/>
      <c r="M3150" s="14"/>
    </row>
    <row r="3151" spans="1:13" ht="12.75">
      <c r="A3151" s="14"/>
      <c r="B3151" s="14"/>
      <c r="C3151" s="14"/>
      <c r="D3151" s="14"/>
      <c r="E3151" s="14"/>
      <c r="F3151" s="14"/>
      <c r="G3151" s="14"/>
      <c r="H3151" s="14"/>
      <c r="I3151" s="14"/>
      <c r="J3151" s="14"/>
      <c r="K3151" s="14"/>
      <c r="L3151" s="14"/>
      <c r="M3151" s="14"/>
    </row>
    <row r="3152" spans="1:13" ht="12.75">
      <c r="A3152" s="14"/>
      <c r="B3152" s="14"/>
      <c r="C3152" s="14"/>
      <c r="D3152" s="14"/>
      <c r="E3152" s="14"/>
      <c r="F3152" s="14"/>
      <c r="G3152" s="14"/>
      <c r="H3152" s="14"/>
      <c r="I3152" s="14"/>
      <c r="J3152" s="14"/>
      <c r="K3152" s="14"/>
      <c r="L3152" s="14"/>
      <c r="M3152" s="14"/>
    </row>
    <row r="3153" spans="1:13" ht="12.75">
      <c r="A3153" s="14"/>
      <c r="B3153" s="14"/>
      <c r="C3153" s="14"/>
      <c r="D3153" s="14"/>
      <c r="E3153" s="14"/>
      <c r="F3153" s="14"/>
      <c r="G3153" s="14"/>
      <c r="H3153" s="14"/>
      <c r="I3153" s="14"/>
      <c r="J3153" s="14"/>
      <c r="K3153" s="14"/>
      <c r="L3153" s="14"/>
      <c r="M3153" s="14"/>
    </row>
    <row r="3154" spans="1:13" ht="12.75">
      <c r="A3154" s="14"/>
      <c r="B3154" s="14"/>
      <c r="C3154" s="14"/>
      <c r="D3154" s="14"/>
      <c r="E3154" s="14"/>
      <c r="F3154" s="14"/>
      <c r="G3154" s="14"/>
      <c r="H3154" s="14"/>
      <c r="I3154" s="14"/>
      <c r="J3154" s="14"/>
      <c r="K3154" s="14"/>
      <c r="L3154" s="14"/>
      <c r="M3154" s="14"/>
    </row>
    <row r="3155" spans="1:13" ht="12.75">
      <c r="A3155" s="14"/>
      <c r="B3155" s="14"/>
      <c r="C3155" s="14"/>
      <c r="D3155" s="14"/>
      <c r="E3155" s="14"/>
      <c r="F3155" s="14"/>
      <c r="G3155" s="14"/>
      <c r="H3155" s="14"/>
      <c r="I3155" s="14"/>
      <c r="J3155" s="14"/>
      <c r="K3155" s="14"/>
      <c r="L3155" s="14"/>
      <c r="M3155" s="14"/>
    </row>
    <row r="3156" spans="1:13" ht="12.75">
      <c r="A3156" s="14"/>
      <c r="B3156" s="14"/>
      <c r="C3156" s="14"/>
      <c r="D3156" s="14"/>
      <c r="E3156" s="14"/>
      <c r="F3156" s="14"/>
      <c r="G3156" s="14"/>
      <c r="H3156" s="14"/>
      <c r="I3156" s="14"/>
      <c r="J3156" s="14"/>
      <c r="K3156" s="14"/>
      <c r="L3156" s="14"/>
      <c r="M3156" s="14"/>
    </row>
    <row r="3157" spans="1:13" ht="12.75">
      <c r="A3157" s="14"/>
      <c r="B3157" s="14"/>
      <c r="C3157" s="14"/>
      <c r="D3157" s="14"/>
      <c r="E3157" s="14"/>
      <c r="F3157" s="14"/>
      <c r="G3157" s="14"/>
      <c r="H3157" s="14"/>
      <c r="I3157" s="14"/>
      <c r="J3157" s="14"/>
      <c r="K3157" s="14"/>
      <c r="L3157" s="14"/>
      <c r="M3157" s="14"/>
    </row>
    <row r="3158" spans="1:13" ht="12.75">
      <c r="A3158" s="14"/>
      <c r="B3158" s="14"/>
      <c r="C3158" s="14"/>
      <c r="D3158" s="14"/>
      <c r="E3158" s="14"/>
      <c r="F3158" s="14"/>
      <c r="G3158" s="14"/>
      <c r="H3158" s="14"/>
      <c r="I3158" s="14"/>
      <c r="J3158" s="14"/>
      <c r="K3158" s="14"/>
      <c r="L3158" s="14"/>
      <c r="M3158" s="14"/>
    </row>
    <row r="3159" spans="1:13" ht="12.75">
      <c r="A3159" s="14"/>
      <c r="B3159" s="14"/>
      <c r="C3159" s="14"/>
      <c r="D3159" s="14"/>
      <c r="E3159" s="14"/>
      <c r="F3159" s="14"/>
      <c r="G3159" s="14"/>
      <c r="H3159" s="14"/>
      <c r="I3159" s="14"/>
      <c r="J3159" s="14"/>
      <c r="K3159" s="14"/>
      <c r="L3159" s="14"/>
      <c r="M3159" s="14"/>
    </row>
    <row r="3160" spans="1:13" ht="12.75">
      <c r="A3160" s="14"/>
      <c r="B3160" s="14"/>
      <c r="C3160" s="14"/>
      <c r="D3160" s="14"/>
      <c r="E3160" s="14"/>
      <c r="F3160" s="14"/>
      <c r="G3160" s="14"/>
      <c r="H3160" s="14"/>
      <c r="I3160" s="14"/>
      <c r="J3160" s="14"/>
      <c r="K3160" s="14"/>
      <c r="L3160" s="14"/>
      <c r="M3160" s="14"/>
    </row>
    <row r="3161" spans="1:13" ht="12.75">
      <c r="A3161" s="14"/>
      <c r="B3161" s="14"/>
      <c r="C3161" s="14"/>
      <c r="D3161" s="14"/>
      <c r="E3161" s="14"/>
      <c r="F3161" s="14"/>
      <c r="G3161" s="14"/>
      <c r="H3161" s="14"/>
      <c r="I3161" s="14"/>
      <c r="J3161" s="14"/>
      <c r="K3161" s="14"/>
      <c r="L3161" s="14"/>
      <c r="M3161" s="14"/>
    </row>
    <row r="3162" spans="1:13" ht="2.25" customHeight="1">
      <c r="A3162" s="14"/>
      <c r="B3162" s="14"/>
      <c r="C3162" s="14"/>
      <c r="D3162" s="14"/>
      <c r="E3162" s="14"/>
      <c r="F3162" s="14"/>
      <c r="G3162" s="14"/>
      <c r="H3162" s="14"/>
      <c r="I3162" s="14"/>
      <c r="J3162" s="14"/>
      <c r="K3162" s="14"/>
      <c r="L3162" s="14"/>
      <c r="M3162" s="14"/>
    </row>
    <row r="3163" spans="1:13" ht="12.75" hidden="1">
      <c r="A3163" s="14"/>
      <c r="B3163" s="14"/>
      <c r="C3163" s="14"/>
      <c r="D3163" s="14"/>
      <c r="E3163" s="14"/>
      <c r="F3163" s="14"/>
      <c r="G3163" s="14"/>
      <c r="H3163" s="14"/>
      <c r="I3163" s="14"/>
      <c r="J3163" s="14"/>
      <c r="K3163" s="14"/>
      <c r="L3163" s="14"/>
      <c r="M3163" s="14"/>
    </row>
    <row r="3164" spans="1:13" ht="12.75" hidden="1">
      <c r="A3164" s="14"/>
      <c r="B3164" s="14"/>
      <c r="C3164" s="14"/>
      <c r="D3164" s="14"/>
      <c r="E3164" s="14"/>
      <c r="F3164" s="14"/>
      <c r="G3164" s="14"/>
      <c r="H3164" s="14"/>
      <c r="I3164" s="14"/>
      <c r="J3164" s="14"/>
      <c r="K3164" s="14"/>
      <c r="L3164" s="14"/>
      <c r="M3164" s="14"/>
    </row>
    <row r="3165" spans="1:13" ht="12.75" hidden="1">
      <c r="A3165" s="14"/>
      <c r="B3165" s="14"/>
      <c r="C3165" s="14"/>
      <c r="D3165" s="14"/>
      <c r="E3165" s="14"/>
      <c r="F3165" s="14"/>
      <c r="G3165" s="14"/>
      <c r="H3165" s="14"/>
      <c r="I3165" s="14"/>
      <c r="J3165" s="14"/>
      <c r="K3165" s="14"/>
      <c r="L3165" s="14"/>
      <c r="M3165" s="14"/>
    </row>
    <row r="3166" spans="1:13" ht="12.75" hidden="1">
      <c r="A3166" s="14"/>
      <c r="B3166" s="14"/>
      <c r="C3166" s="14"/>
      <c r="D3166" s="14"/>
      <c r="E3166" s="14"/>
      <c r="F3166" s="14"/>
      <c r="G3166" s="14"/>
      <c r="H3166" s="14"/>
      <c r="I3166" s="14"/>
      <c r="J3166" s="14"/>
      <c r="K3166" s="14"/>
      <c r="L3166" s="14"/>
      <c r="M3166" s="14"/>
    </row>
    <row r="3167" spans="1:13" ht="12.75" hidden="1">
      <c r="A3167" s="14"/>
      <c r="B3167" s="14"/>
      <c r="C3167" s="14"/>
      <c r="D3167" s="14"/>
      <c r="E3167" s="14"/>
      <c r="F3167" s="14"/>
      <c r="G3167" s="14"/>
      <c r="H3167" s="14"/>
      <c r="I3167" s="14"/>
      <c r="J3167" s="14"/>
      <c r="K3167" s="14"/>
      <c r="L3167" s="14"/>
      <c r="M3167" s="14"/>
    </row>
    <row r="3168" spans="1:13" ht="12.75" hidden="1">
      <c r="A3168" s="14"/>
      <c r="B3168" s="14"/>
      <c r="C3168" s="14"/>
      <c r="D3168" s="14"/>
      <c r="E3168" s="14"/>
      <c r="F3168" s="14"/>
      <c r="G3168" s="14"/>
      <c r="H3168" s="14"/>
      <c r="I3168" s="14"/>
      <c r="J3168" s="14"/>
      <c r="K3168" s="14"/>
      <c r="L3168" s="14"/>
      <c r="M3168" s="14"/>
    </row>
    <row r="3169" spans="1:13" ht="12.75">
      <c r="A3169" s="31" t="s">
        <v>21</v>
      </c>
      <c r="B3169" s="31"/>
      <c r="C3169" s="14"/>
      <c r="D3169" s="14"/>
      <c r="E3169" s="14"/>
      <c r="F3169" s="14"/>
      <c r="G3169" s="14"/>
      <c r="H3169" s="14"/>
      <c r="I3169" s="14"/>
      <c r="J3169" s="14"/>
      <c r="K3169" s="14"/>
      <c r="L3169" s="14"/>
      <c r="M3169" s="14"/>
    </row>
    <row r="3170" spans="1:13" ht="12.75">
      <c r="A3170" s="14" t="s">
        <v>31</v>
      </c>
      <c r="B3170" s="14"/>
      <c r="C3170" s="14"/>
      <c r="D3170" s="14"/>
      <c r="E3170" s="14"/>
      <c r="F3170" s="14"/>
      <c r="G3170" s="14"/>
      <c r="H3170" s="14"/>
      <c r="I3170" s="14"/>
      <c r="J3170" s="14"/>
      <c r="K3170" s="14"/>
      <c r="L3170" s="14"/>
      <c r="M3170" s="14"/>
    </row>
    <row r="3171" spans="1:13" ht="12.75">
      <c r="A3171" s="14" t="s">
        <v>41</v>
      </c>
      <c r="B3171" s="14"/>
      <c r="C3171" s="14"/>
      <c r="D3171" s="14"/>
      <c r="E3171" s="14"/>
      <c r="F3171" s="14"/>
      <c r="G3171" s="14"/>
      <c r="H3171" s="14"/>
      <c r="I3171" s="14"/>
      <c r="J3171" s="14"/>
      <c r="K3171" s="14"/>
      <c r="L3171" s="14"/>
      <c r="M3171" s="14"/>
    </row>
    <row r="3172" spans="1:13" ht="12.75">
      <c r="A3172" s="14" t="s">
        <v>134</v>
      </c>
      <c r="B3172" s="14"/>
      <c r="C3172" s="14"/>
      <c r="D3172" s="14"/>
      <c r="E3172" s="14" t="s">
        <v>32</v>
      </c>
      <c r="F3172" s="14"/>
      <c r="G3172" s="14"/>
      <c r="H3172" s="14"/>
      <c r="I3172" s="14"/>
      <c r="J3172" s="14"/>
      <c r="K3172" s="14"/>
      <c r="L3172" s="14"/>
      <c r="M3172" s="14"/>
    </row>
    <row r="3173" spans="1:13" ht="12.75" customHeight="1">
      <c r="A3173" s="6" t="s">
        <v>0</v>
      </c>
      <c r="B3173" s="151" t="s">
        <v>38</v>
      </c>
      <c r="C3173" s="152"/>
      <c r="D3173" s="149" t="s">
        <v>39</v>
      </c>
      <c r="E3173" s="150"/>
      <c r="F3173" s="149" t="s">
        <v>96</v>
      </c>
      <c r="G3173" s="150"/>
      <c r="H3173" s="149" t="s">
        <v>97</v>
      </c>
      <c r="I3173" s="150"/>
      <c r="J3173" s="149" t="s">
        <v>98</v>
      </c>
      <c r="K3173" s="150"/>
      <c r="L3173" s="149" t="s">
        <v>99</v>
      </c>
      <c r="M3173" s="150"/>
    </row>
    <row r="3174" spans="1:13" ht="12.75">
      <c r="A3174" s="11" t="s">
        <v>5</v>
      </c>
      <c r="B3174" s="153"/>
      <c r="C3174" s="154"/>
      <c r="D3174" s="6" t="s">
        <v>40</v>
      </c>
      <c r="E3174" s="6" t="s">
        <v>22</v>
      </c>
      <c r="F3174" s="6" t="s">
        <v>40</v>
      </c>
      <c r="G3174" s="13" t="s">
        <v>22</v>
      </c>
      <c r="H3174" s="2"/>
      <c r="I3174" s="2"/>
      <c r="J3174" s="2"/>
      <c r="K3174" s="2"/>
      <c r="L3174" s="2"/>
      <c r="M3174" s="2"/>
    </row>
    <row r="3175" spans="1:13" ht="12.75">
      <c r="A3175" s="2" t="s">
        <v>1</v>
      </c>
      <c r="B3175" s="2"/>
      <c r="C3175" s="6">
        <v>5</v>
      </c>
      <c r="D3175" s="2"/>
      <c r="E3175" s="2"/>
      <c r="F3175" s="2"/>
      <c r="G3175" s="2"/>
      <c r="H3175" s="2"/>
      <c r="I3175" s="2"/>
      <c r="J3175" s="2"/>
      <c r="K3175" s="2"/>
      <c r="L3175" s="2"/>
      <c r="M3175" s="2"/>
    </row>
    <row r="3176" spans="1:13" ht="12.75">
      <c r="A3176" s="2" t="s">
        <v>2</v>
      </c>
      <c r="B3176" s="2"/>
      <c r="C3176" s="6">
        <v>6</v>
      </c>
      <c r="D3176" s="2"/>
      <c r="E3176" s="2"/>
      <c r="F3176" s="2"/>
      <c r="G3176" s="2"/>
      <c r="H3176" s="2"/>
      <c r="I3176" s="2"/>
      <c r="J3176" s="2"/>
      <c r="K3176" s="2"/>
      <c r="L3176" s="2"/>
      <c r="M3176" s="2"/>
    </row>
    <row r="3177" spans="1:13" ht="12.75">
      <c r="A3177" s="2" t="s">
        <v>3</v>
      </c>
      <c r="B3177" s="2"/>
      <c r="C3177" s="6">
        <v>60</v>
      </c>
      <c r="D3177" s="2"/>
      <c r="E3177" s="2"/>
      <c r="F3177" s="2"/>
      <c r="G3177" s="2"/>
      <c r="H3177" s="2"/>
      <c r="I3177" s="2"/>
      <c r="J3177" s="2"/>
      <c r="K3177" s="2"/>
      <c r="L3177" s="2"/>
      <c r="M3177" s="2"/>
    </row>
    <row r="3178" spans="1:13" ht="12.75">
      <c r="A3178" s="2" t="s">
        <v>4</v>
      </c>
      <c r="B3178" s="6"/>
      <c r="C3178" s="6">
        <v>3624.57</v>
      </c>
      <c r="D3178" s="6"/>
      <c r="E3178" s="6"/>
      <c r="F3178" s="6"/>
      <c r="G3178" s="2"/>
      <c r="H3178" s="2"/>
      <c r="I3178" s="2"/>
      <c r="J3178" s="2"/>
      <c r="K3178" s="2">
        <v>3624.74</v>
      </c>
      <c r="L3178" s="2"/>
      <c r="M3178" s="2"/>
    </row>
    <row r="3179" spans="1:13" ht="21.75">
      <c r="A3179" s="35" t="s">
        <v>6</v>
      </c>
      <c r="B3179" s="11" t="s">
        <v>40</v>
      </c>
      <c r="C3179" s="2" t="s">
        <v>22</v>
      </c>
      <c r="D3179" s="2"/>
      <c r="E3179" s="2"/>
      <c r="F3179" s="2"/>
      <c r="G3179" s="2"/>
      <c r="H3179" s="2"/>
      <c r="I3179" s="2"/>
      <c r="J3179" s="2"/>
      <c r="K3179" s="2"/>
      <c r="L3179" s="2"/>
      <c r="M3179" s="2"/>
    </row>
    <row r="3180" spans="1:13" ht="22.5">
      <c r="A3180" s="40" t="s">
        <v>7</v>
      </c>
      <c r="B3180" s="3"/>
      <c r="C3180" s="6"/>
      <c r="D3180" s="6"/>
      <c r="E3180" s="6">
        <f>G3180+I3180+K3180+M3180</f>
        <v>408120.34</v>
      </c>
      <c r="F3180" s="2"/>
      <c r="G3180" s="2">
        <v>90064.44</v>
      </c>
      <c r="H3180" s="2"/>
      <c r="I3180" s="2">
        <v>108471.64</v>
      </c>
      <c r="J3180" s="2"/>
      <c r="K3180" s="2">
        <v>101699.56</v>
      </c>
      <c r="L3180" s="2"/>
      <c r="M3180" s="2">
        <v>107884.7</v>
      </c>
    </row>
    <row r="3181" spans="1:13" ht="12.75">
      <c r="A3181" s="41" t="s">
        <v>8</v>
      </c>
      <c r="B3181" s="3"/>
      <c r="C3181" s="6"/>
      <c r="D3181" s="6"/>
      <c r="E3181" s="6"/>
      <c r="F3181" s="2"/>
      <c r="G3181" s="2"/>
      <c r="H3181" s="2"/>
      <c r="I3181" s="2"/>
      <c r="J3181" s="2"/>
      <c r="K3181" s="2"/>
      <c r="L3181" s="2"/>
      <c r="M3181" s="2"/>
    </row>
    <row r="3182" spans="1:13" ht="12.75">
      <c r="A3182" s="41" t="s">
        <v>9</v>
      </c>
      <c r="B3182" s="3"/>
      <c r="C3182" s="6"/>
      <c r="D3182" s="6"/>
      <c r="E3182" s="6"/>
      <c r="F3182" s="2"/>
      <c r="G3182" s="2"/>
      <c r="H3182" s="2"/>
      <c r="I3182" s="2"/>
      <c r="J3182" s="2"/>
      <c r="K3182" s="2"/>
      <c r="L3182" s="2"/>
      <c r="M3182" s="2"/>
    </row>
    <row r="3183" spans="1:13" ht="12.75">
      <c r="A3183" s="2" t="s">
        <v>10</v>
      </c>
      <c r="B3183" s="42"/>
      <c r="C3183" s="11"/>
      <c r="D3183" s="11"/>
      <c r="E3183" s="11">
        <f>SUM(E3180:E3182)</f>
        <v>408120.34</v>
      </c>
      <c r="F3183" s="37"/>
      <c r="G3183" s="37">
        <f>SUM(G3180:G3182)</f>
        <v>90064.44</v>
      </c>
      <c r="H3183" s="2"/>
      <c r="I3183" s="2">
        <f>SUM(I3180:I3182)</f>
        <v>108471.64</v>
      </c>
      <c r="J3183" s="2"/>
      <c r="K3183" s="2">
        <f>SUM(K3180:K3182)</f>
        <v>101699.56</v>
      </c>
      <c r="L3183" s="2"/>
      <c r="M3183" s="2">
        <f>SUM(M3180:M3182)</f>
        <v>107884.7</v>
      </c>
    </row>
    <row r="3184" spans="1:13" ht="21.75">
      <c r="A3184" s="35" t="s">
        <v>82</v>
      </c>
      <c r="B3184" s="42"/>
      <c r="C3184" s="2"/>
      <c r="D3184" s="2"/>
      <c r="E3184" s="2"/>
      <c r="F3184" s="2"/>
      <c r="G3184" s="2"/>
      <c r="H3184" s="2"/>
      <c r="I3184" s="7"/>
      <c r="J3184" s="2"/>
      <c r="K3184" s="2"/>
      <c r="L3184" s="2"/>
      <c r="M3184" s="2"/>
    </row>
    <row r="3185" spans="1:13" ht="12.75">
      <c r="A3185" s="43" t="s">
        <v>11</v>
      </c>
      <c r="B3185" s="44"/>
      <c r="C3185" s="45"/>
      <c r="D3185" s="45"/>
      <c r="E3185" s="7">
        <f>G3185+I3185+K3185+M3185</f>
        <v>118236.39418019999</v>
      </c>
      <c r="F3185" s="45"/>
      <c r="G3185" s="45">
        <f>7.99407*C3178</f>
        <v>28975.0662999</v>
      </c>
      <c r="H3185" s="2"/>
      <c r="I3185" s="7">
        <f>9.57707*C3178</f>
        <v>34712.760609900004</v>
      </c>
      <c r="J3185" s="2"/>
      <c r="K3185" s="7">
        <f>7.32829*K3178</f>
        <v>26563.1458946</v>
      </c>
      <c r="L3185" s="2"/>
      <c r="M3185" s="7">
        <f>7.72067*K3178</f>
        <v>27985.4213758</v>
      </c>
    </row>
    <row r="3186" spans="1:13" ht="12.75">
      <c r="A3186" s="43" t="s">
        <v>12</v>
      </c>
      <c r="B3186" s="46"/>
      <c r="C3186" s="7"/>
      <c r="D3186" s="7"/>
      <c r="E3186" s="7">
        <f aca="true" t="shared" si="54" ref="E3186:E3199">G3186+I3186+K3186</f>
        <v>0</v>
      </c>
      <c r="F3186" s="7"/>
      <c r="G3186" s="7"/>
      <c r="H3186" s="2"/>
      <c r="I3186" s="7"/>
      <c r="J3186" s="2"/>
      <c r="K3186" s="7"/>
      <c r="L3186" s="2"/>
      <c r="M3186" s="7"/>
    </row>
    <row r="3187" spans="1:13" ht="12.75">
      <c r="A3187" s="41" t="s">
        <v>13</v>
      </c>
      <c r="B3187" s="46"/>
      <c r="C3187" s="7"/>
      <c r="D3187" s="7"/>
      <c r="E3187" s="7">
        <f>G3187+I3187+K3187+M3187</f>
        <v>144204.74142379998</v>
      </c>
      <c r="F3187" s="7"/>
      <c r="G3187" s="7">
        <f>G3188+G3190+G3191+G3192+G3193+G3194+G3195+G3196+G3197+G3198+G3199</f>
        <v>36065.6419369</v>
      </c>
      <c r="H3187" s="2"/>
      <c r="I3187" s="7">
        <f>I3188+I3190+I3191+I3192+I3193+I3194+I3195+I3196+I3197+I3198+I3199</f>
        <v>37224.20118429999</v>
      </c>
      <c r="J3187" s="2"/>
      <c r="K3187" s="7">
        <f>K3188+K3190+K3191+K3192+K3193+K3194+K3195+K3196+K3197+K3198+K3199</f>
        <v>39707.4954426</v>
      </c>
      <c r="L3187" s="2"/>
      <c r="M3187" s="7">
        <f>M3188+M3190+M3191+M3192+M3193+M3194+M3195+M3196+M3197+M3198+M3199</f>
        <v>31207.40286</v>
      </c>
    </row>
    <row r="3188" spans="1:13" ht="12.75">
      <c r="A3188" s="47" t="s">
        <v>14</v>
      </c>
      <c r="B3188" s="46"/>
      <c r="C3188" s="71"/>
      <c r="D3188" s="7"/>
      <c r="E3188" s="7">
        <f t="shared" si="54"/>
        <v>100555</v>
      </c>
      <c r="F3188" s="7"/>
      <c r="G3188" s="7">
        <v>33705</v>
      </c>
      <c r="H3188" s="2"/>
      <c r="I3188" s="7">
        <v>32632</v>
      </c>
      <c r="J3188" s="2"/>
      <c r="K3188" s="7">
        <v>34218</v>
      </c>
      <c r="L3188" s="2"/>
      <c r="M3188" s="7">
        <v>29905</v>
      </c>
    </row>
    <row r="3189" spans="1:13" ht="12.75">
      <c r="A3189" s="41" t="s">
        <v>19</v>
      </c>
      <c r="B3189" s="46"/>
      <c r="C3189" s="71"/>
      <c r="D3189" s="7"/>
      <c r="E3189" s="7">
        <f t="shared" si="54"/>
        <v>64836</v>
      </c>
      <c r="F3189" s="7"/>
      <c r="G3189" s="7">
        <v>21619</v>
      </c>
      <c r="H3189" s="2"/>
      <c r="I3189" s="7">
        <v>21619</v>
      </c>
      <c r="J3189" s="2"/>
      <c r="K3189" s="7">
        <v>21598</v>
      </c>
      <c r="L3189" s="2"/>
      <c r="M3189" s="7">
        <v>21598</v>
      </c>
    </row>
    <row r="3190" spans="1:13" ht="12.75">
      <c r="A3190" s="41" t="s">
        <v>18</v>
      </c>
      <c r="B3190" s="46"/>
      <c r="C3190" s="7"/>
      <c r="D3190" s="7"/>
      <c r="E3190" s="7">
        <f t="shared" si="54"/>
        <v>911.24</v>
      </c>
      <c r="F3190" s="7"/>
      <c r="G3190" s="7">
        <v>211.27</v>
      </c>
      <c r="H3190" s="2"/>
      <c r="I3190" s="7">
        <v>297.34</v>
      </c>
      <c r="J3190" s="2"/>
      <c r="K3190" s="7">
        <v>402.63</v>
      </c>
      <c r="L3190" s="2"/>
      <c r="M3190" s="7">
        <v>436.09</v>
      </c>
    </row>
    <row r="3191" spans="1:13" ht="12.75">
      <c r="A3191" s="41" t="s">
        <v>53</v>
      </c>
      <c r="B3191" s="46"/>
      <c r="C3191" s="7"/>
      <c r="D3191" s="7"/>
      <c r="E3191" s="7">
        <f t="shared" si="54"/>
        <v>6107.684696800001</v>
      </c>
      <c r="F3191" s="7"/>
      <c r="G3191" s="7">
        <f>0.54857*C3178</f>
        <v>1988.3303649000002</v>
      </c>
      <c r="H3191" s="2"/>
      <c r="I3191" s="7">
        <f>0.53049*C3178</f>
        <v>1922.7981393000002</v>
      </c>
      <c r="J3191" s="2"/>
      <c r="K3191" s="7">
        <f>0.60599*K3178</f>
        <v>2196.5561926</v>
      </c>
      <c r="L3191" s="2"/>
      <c r="M3191" s="7">
        <f>0.239*K3178</f>
        <v>866.3128599999999</v>
      </c>
    </row>
    <row r="3192" spans="1:13" ht="12.75">
      <c r="A3192" s="41" t="s">
        <v>148</v>
      </c>
      <c r="B3192" s="46"/>
      <c r="C3192" s="7"/>
      <c r="D3192" s="7"/>
      <c r="E3192" s="7">
        <f t="shared" si="54"/>
        <v>490</v>
      </c>
      <c r="F3192" s="7"/>
      <c r="G3192" s="7">
        <v>90</v>
      </c>
      <c r="H3192" s="2"/>
      <c r="I3192" s="7"/>
      <c r="J3192" s="2"/>
      <c r="K3192" s="7">
        <v>400</v>
      </c>
      <c r="L3192" s="2"/>
      <c r="M3192" s="7"/>
    </row>
    <row r="3193" spans="1:13" ht="12.75">
      <c r="A3193" s="41" t="s">
        <v>27</v>
      </c>
      <c r="B3193" s="46"/>
      <c r="C3193" s="7"/>
      <c r="D3193" s="7"/>
      <c r="E3193" s="7">
        <f t="shared" si="54"/>
        <v>1152</v>
      </c>
      <c r="F3193" s="7"/>
      <c r="G3193" s="7"/>
      <c r="H3193" s="2"/>
      <c r="I3193" s="7">
        <v>572</v>
      </c>
      <c r="J3193" s="2"/>
      <c r="K3193" s="7">
        <v>580</v>
      </c>
      <c r="L3193" s="2"/>
      <c r="M3193" s="7"/>
    </row>
    <row r="3194" spans="1:13" ht="12.75">
      <c r="A3194" s="41" t="s">
        <v>36</v>
      </c>
      <c r="B3194" s="46"/>
      <c r="C3194" s="7"/>
      <c r="D3194" s="7"/>
      <c r="E3194" s="7">
        <f t="shared" si="54"/>
        <v>3416.7799999999997</v>
      </c>
      <c r="F3194" s="7"/>
      <c r="G3194" s="7"/>
      <c r="H3194" s="2" t="s">
        <v>284</v>
      </c>
      <c r="I3194" s="7">
        <v>1551.78</v>
      </c>
      <c r="J3194" s="2" t="s">
        <v>367</v>
      </c>
      <c r="K3194" s="7">
        <v>1865</v>
      </c>
      <c r="L3194" s="2"/>
      <c r="M3194" s="7"/>
    </row>
    <row r="3195" spans="1:13" ht="12.75">
      <c r="A3195" s="41" t="s">
        <v>58</v>
      </c>
      <c r="B3195" s="46"/>
      <c r="C3195" s="7"/>
      <c r="D3195" s="7"/>
      <c r="E3195" s="7">
        <f t="shared" si="54"/>
        <v>0</v>
      </c>
      <c r="F3195" s="7"/>
      <c r="G3195" s="7"/>
      <c r="H3195" s="2"/>
      <c r="I3195" s="7"/>
      <c r="J3195" s="2"/>
      <c r="K3195" s="7"/>
      <c r="L3195" s="2"/>
      <c r="M3195" s="7"/>
    </row>
    <row r="3196" spans="1:13" ht="12.75">
      <c r="A3196" s="41" t="s">
        <v>43</v>
      </c>
      <c r="B3196" s="46"/>
      <c r="C3196" s="7"/>
      <c r="D3196" s="7"/>
      <c r="E3196" s="7">
        <f t="shared" si="54"/>
        <v>0</v>
      </c>
      <c r="F3196" s="7"/>
      <c r="G3196" s="7"/>
      <c r="H3196" s="2"/>
      <c r="I3196" s="7"/>
      <c r="J3196" s="2"/>
      <c r="K3196" s="7"/>
      <c r="L3196" s="2"/>
      <c r="M3196" s="7"/>
    </row>
    <row r="3197" spans="1:13" ht="12.75">
      <c r="A3197" s="41" t="s">
        <v>30</v>
      </c>
      <c r="B3197" s="46"/>
      <c r="C3197" s="7"/>
      <c r="D3197" s="7"/>
      <c r="E3197" s="7">
        <f t="shared" si="54"/>
        <v>0</v>
      </c>
      <c r="F3197" s="7"/>
      <c r="G3197" s="7"/>
      <c r="H3197" s="2"/>
      <c r="I3197" s="7"/>
      <c r="J3197" s="2"/>
      <c r="K3197" s="7"/>
      <c r="L3197" s="2"/>
      <c r="M3197" s="7"/>
    </row>
    <row r="3198" spans="1:13" ht="12.75">
      <c r="A3198" s="41" t="s">
        <v>54</v>
      </c>
      <c r="B3198" s="46"/>
      <c r="C3198" s="7"/>
      <c r="D3198" s="7"/>
      <c r="E3198" s="7">
        <f t="shared" si="54"/>
        <v>71.041572</v>
      </c>
      <c r="F3198" s="7"/>
      <c r="G3198" s="7">
        <f>0.0196*C3178</f>
        <v>71.041572</v>
      </c>
      <c r="H3198" s="2"/>
      <c r="I3198" s="7"/>
      <c r="J3198" s="2"/>
      <c r="K3198" s="7"/>
      <c r="L3198" s="2"/>
      <c r="M3198" s="7"/>
    </row>
    <row r="3199" spans="1:13" ht="13.5" thickBot="1">
      <c r="A3199" s="48" t="s">
        <v>55</v>
      </c>
      <c r="B3199" s="49"/>
      <c r="C3199" s="50"/>
      <c r="D3199" s="50"/>
      <c r="E3199" s="7">
        <f t="shared" si="54"/>
        <v>293.59229500000004</v>
      </c>
      <c r="F3199" s="50"/>
      <c r="G3199" s="50"/>
      <c r="H3199" s="22"/>
      <c r="I3199" s="50">
        <f>0.0685*C3178</f>
        <v>248.28304500000004</v>
      </c>
      <c r="J3199" s="22"/>
      <c r="K3199" s="50">
        <f>0.0125*K3178</f>
        <v>45.30925</v>
      </c>
      <c r="L3199" s="22"/>
      <c r="M3199" s="50"/>
    </row>
    <row r="3200" spans="1:13" ht="13.5" thickBot="1">
      <c r="A3200" s="51" t="s">
        <v>76</v>
      </c>
      <c r="B3200" s="81"/>
      <c r="C3200" s="63"/>
      <c r="D3200" s="63"/>
      <c r="E3200" s="63">
        <f>E3185+E3187</f>
        <v>262441.13560399995</v>
      </c>
      <c r="F3200" s="63"/>
      <c r="G3200" s="63">
        <f>G3185+G3187</f>
        <v>65040.7082368</v>
      </c>
      <c r="H3200" s="26"/>
      <c r="I3200" s="63">
        <f>I3185+I3187</f>
        <v>71936.9617942</v>
      </c>
      <c r="J3200" s="26"/>
      <c r="K3200" s="63">
        <f>K3185+K3187</f>
        <v>66270.6413372</v>
      </c>
      <c r="L3200" s="26"/>
      <c r="M3200" s="29">
        <f>M3185+M3187</f>
        <v>59192.8242358</v>
      </c>
    </row>
    <row r="3201" spans="1:13" ht="13.5" customHeight="1">
      <c r="A3201" s="54" t="s">
        <v>15</v>
      </c>
      <c r="B3201" s="55"/>
      <c r="C3201" s="66"/>
      <c r="D3201" s="66"/>
      <c r="E3201" s="56">
        <f>G3201+I3201+K3201+M3201</f>
        <v>0</v>
      </c>
      <c r="F3201" s="66"/>
      <c r="G3201" s="56"/>
      <c r="H3201" s="74"/>
      <c r="I3201" s="56"/>
      <c r="J3201" s="74"/>
      <c r="K3201" s="56"/>
      <c r="L3201" s="74"/>
      <c r="M3201" s="56"/>
    </row>
    <row r="3202" spans="1:13" ht="12.75">
      <c r="A3202" s="41" t="s">
        <v>17</v>
      </c>
      <c r="B3202" s="46"/>
      <c r="C3202" s="7"/>
      <c r="D3202" s="7"/>
      <c r="E3202" s="7">
        <f>G3202+I3202+K3202+M3202</f>
        <v>102474.5347598</v>
      </c>
      <c r="F3202" s="7"/>
      <c r="G3202" s="7">
        <f>6.73321*C3178</f>
        <v>24404.9909697</v>
      </c>
      <c r="H3202" s="2"/>
      <c r="I3202" s="7">
        <f>7.02207*C3178</f>
        <v>25451.9842599</v>
      </c>
      <c r="J3202" s="2"/>
      <c r="K3202" s="7">
        <f>7.2754*K3178</f>
        <v>26371.433396</v>
      </c>
      <c r="L3202" s="2"/>
      <c r="M3202" s="7">
        <f>7.24083*K3178</f>
        <v>26246.126134199996</v>
      </c>
    </row>
    <row r="3203" spans="1:13" ht="12.75">
      <c r="A3203" s="41" t="s">
        <v>444</v>
      </c>
      <c r="B3203" s="46"/>
      <c r="C3203" s="71"/>
      <c r="D3203" s="7"/>
      <c r="E3203" s="7">
        <f aca="true" t="shared" si="55" ref="E3203:E3222">G3203+I3203+K3203+M3203</f>
        <v>18498</v>
      </c>
      <c r="F3203" s="7"/>
      <c r="G3203" s="7"/>
      <c r="H3203" s="2"/>
      <c r="I3203" s="7">
        <v>15567</v>
      </c>
      <c r="J3203" s="2"/>
      <c r="K3203" s="7"/>
      <c r="L3203" s="2"/>
      <c r="M3203" s="7">
        <v>2931</v>
      </c>
    </row>
    <row r="3204" spans="1:13" ht="12.75">
      <c r="A3204" s="41" t="s">
        <v>67</v>
      </c>
      <c r="B3204" s="46"/>
      <c r="C3204" s="7"/>
      <c r="D3204" s="7"/>
      <c r="E3204" s="7">
        <f t="shared" si="55"/>
        <v>7963</v>
      </c>
      <c r="F3204" s="7"/>
      <c r="G3204" s="7">
        <v>7110</v>
      </c>
      <c r="H3204" s="2"/>
      <c r="I3204" s="7"/>
      <c r="J3204" s="2"/>
      <c r="K3204" s="7"/>
      <c r="L3204" s="2"/>
      <c r="M3204" s="7">
        <v>853</v>
      </c>
    </row>
    <row r="3205" spans="1:13" ht="12.75">
      <c r="A3205" s="41" t="s">
        <v>68</v>
      </c>
      <c r="B3205" s="46"/>
      <c r="C3205" s="7"/>
      <c r="D3205" s="7"/>
      <c r="E3205" s="7">
        <f t="shared" si="55"/>
        <v>0</v>
      </c>
      <c r="F3205" s="7"/>
      <c r="G3205" s="7"/>
      <c r="H3205" s="2"/>
      <c r="I3205" s="7"/>
      <c r="J3205" s="2"/>
      <c r="K3205" s="7"/>
      <c r="L3205" s="2"/>
      <c r="M3205" s="7"/>
    </row>
    <row r="3206" spans="1:13" ht="12.75">
      <c r="A3206" s="41" t="s">
        <v>69</v>
      </c>
      <c r="B3206" s="46"/>
      <c r="C3206" s="7"/>
      <c r="D3206" s="7"/>
      <c r="E3206" s="7">
        <f t="shared" si="55"/>
        <v>6140</v>
      </c>
      <c r="F3206" s="7"/>
      <c r="G3206" s="7">
        <v>6140</v>
      </c>
      <c r="H3206" s="2"/>
      <c r="I3206" s="7"/>
      <c r="J3206" s="2"/>
      <c r="K3206" s="7"/>
      <c r="L3206" s="2"/>
      <c r="M3206" s="7"/>
    </row>
    <row r="3207" spans="1:13" ht="12.75">
      <c r="A3207" s="41" t="s">
        <v>26</v>
      </c>
      <c r="B3207" s="46"/>
      <c r="C3207" s="7"/>
      <c r="D3207" s="7"/>
      <c r="E3207" s="7">
        <f t="shared" si="55"/>
        <v>14899</v>
      </c>
      <c r="F3207" s="7"/>
      <c r="G3207" s="7"/>
      <c r="H3207" s="2"/>
      <c r="I3207" s="7">
        <v>1482</v>
      </c>
      <c r="J3207" s="2"/>
      <c r="K3207" s="7">
        <v>11982</v>
      </c>
      <c r="L3207" s="2"/>
      <c r="M3207" s="7">
        <v>1435</v>
      </c>
    </row>
    <row r="3208" spans="1:13" ht="12.75">
      <c r="A3208" s="41" t="s">
        <v>28</v>
      </c>
      <c r="B3208" s="46"/>
      <c r="C3208" s="7"/>
      <c r="D3208" s="7"/>
      <c r="E3208" s="7">
        <f t="shared" si="55"/>
        <v>865</v>
      </c>
      <c r="F3208" s="7"/>
      <c r="G3208" s="7"/>
      <c r="H3208" s="2"/>
      <c r="I3208" s="7"/>
      <c r="J3208" s="2"/>
      <c r="K3208" s="7"/>
      <c r="L3208" s="2"/>
      <c r="M3208" s="7">
        <v>865</v>
      </c>
    </row>
    <row r="3209" spans="1:13" ht="12.75">
      <c r="A3209" s="41" t="s">
        <v>291</v>
      </c>
      <c r="B3209" s="46"/>
      <c r="C3209" s="7"/>
      <c r="D3209" s="7"/>
      <c r="E3209" s="7">
        <f t="shared" si="55"/>
        <v>465</v>
      </c>
      <c r="F3209" s="7"/>
      <c r="G3209" s="7"/>
      <c r="H3209" s="2"/>
      <c r="I3209" s="7"/>
      <c r="J3209" s="2"/>
      <c r="K3209" s="7">
        <v>465</v>
      </c>
      <c r="L3209" s="2"/>
      <c r="M3209" s="7"/>
    </row>
    <row r="3210" spans="1:13" ht="12.75">
      <c r="A3210" s="41" t="s">
        <v>60</v>
      </c>
      <c r="B3210" s="46"/>
      <c r="C3210" s="7"/>
      <c r="D3210" s="7"/>
      <c r="E3210" s="7">
        <f t="shared" si="55"/>
        <v>0</v>
      </c>
      <c r="F3210" s="7"/>
      <c r="G3210" s="7"/>
      <c r="H3210" s="2"/>
      <c r="I3210" s="7"/>
      <c r="J3210" s="2"/>
      <c r="K3210" s="7"/>
      <c r="L3210" s="2"/>
      <c r="M3210" s="7"/>
    </row>
    <row r="3211" spans="1:13" ht="12.75">
      <c r="A3211" s="41" t="s">
        <v>75</v>
      </c>
      <c r="B3211" s="46"/>
      <c r="C3211" s="7"/>
      <c r="D3211" s="7"/>
      <c r="E3211" s="7">
        <f t="shared" si="55"/>
        <v>0</v>
      </c>
      <c r="F3211" s="7"/>
      <c r="G3211" s="7"/>
      <c r="H3211" s="2"/>
      <c r="I3211" s="7"/>
      <c r="J3211" s="2"/>
      <c r="K3211" s="7"/>
      <c r="L3211" s="2"/>
      <c r="M3211" s="7"/>
    </row>
    <row r="3212" spans="1:13" ht="12.75">
      <c r="A3212" s="41" t="s">
        <v>62</v>
      </c>
      <c r="B3212" s="46"/>
      <c r="C3212" s="7"/>
      <c r="D3212" s="7"/>
      <c r="E3212" s="7">
        <f t="shared" si="55"/>
        <v>0</v>
      </c>
      <c r="F3212" s="7"/>
      <c r="G3212" s="7"/>
      <c r="H3212" s="2"/>
      <c r="I3212" s="7"/>
      <c r="J3212" s="2"/>
      <c r="K3212" s="7"/>
      <c r="L3212" s="2"/>
      <c r="M3212" s="7"/>
    </row>
    <row r="3213" spans="1:13" ht="12.75">
      <c r="A3213" s="41" t="s">
        <v>63</v>
      </c>
      <c r="B3213" s="46"/>
      <c r="C3213" s="7"/>
      <c r="D3213" s="7"/>
      <c r="E3213" s="7">
        <f t="shared" si="55"/>
        <v>0</v>
      </c>
      <c r="F3213" s="7"/>
      <c r="G3213" s="7"/>
      <c r="H3213" s="2"/>
      <c r="I3213" s="7"/>
      <c r="J3213" s="2"/>
      <c r="K3213" s="7"/>
      <c r="L3213" s="2"/>
      <c r="M3213" s="7"/>
    </row>
    <row r="3214" spans="1:13" ht="12.75">
      <c r="A3214" s="41" t="s">
        <v>66</v>
      </c>
      <c r="B3214" s="46"/>
      <c r="C3214" s="7"/>
      <c r="D3214" s="7"/>
      <c r="E3214" s="7">
        <f t="shared" si="55"/>
        <v>0</v>
      </c>
      <c r="F3214" s="7"/>
      <c r="G3214" s="7"/>
      <c r="H3214" s="2"/>
      <c r="I3214" s="7"/>
      <c r="J3214" s="2"/>
      <c r="K3214" s="7"/>
      <c r="L3214" s="2"/>
      <c r="M3214" s="7"/>
    </row>
    <row r="3215" spans="1:13" ht="12.75">
      <c r="A3215" s="41" t="s">
        <v>51</v>
      </c>
      <c r="B3215" s="46"/>
      <c r="C3215" s="7"/>
      <c r="D3215" s="7"/>
      <c r="E3215" s="7">
        <f t="shared" si="55"/>
        <v>2509.49</v>
      </c>
      <c r="F3215" s="7"/>
      <c r="G3215" s="7"/>
      <c r="H3215" s="2"/>
      <c r="I3215" s="7">
        <v>2509.49</v>
      </c>
      <c r="J3215" s="2"/>
      <c r="K3215" s="7"/>
      <c r="L3215" s="2"/>
      <c r="M3215" s="7"/>
    </row>
    <row r="3216" spans="1:13" ht="12.75">
      <c r="A3216" s="58" t="s">
        <v>52</v>
      </c>
      <c r="B3216" s="46"/>
      <c r="C3216" s="7"/>
      <c r="D3216" s="7"/>
      <c r="E3216" s="7">
        <f t="shared" si="55"/>
        <v>0</v>
      </c>
      <c r="F3216" s="7"/>
      <c r="G3216" s="7"/>
      <c r="H3216" s="2"/>
      <c r="I3216" s="7"/>
      <c r="J3216" s="2"/>
      <c r="K3216" s="7"/>
      <c r="L3216" s="2"/>
      <c r="M3216" s="7"/>
    </row>
    <row r="3217" spans="1:13" ht="12.75">
      <c r="A3217" s="41" t="s">
        <v>80</v>
      </c>
      <c r="B3217" s="46"/>
      <c r="C3217" s="7"/>
      <c r="D3217" s="7"/>
      <c r="E3217" s="7">
        <f t="shared" si="55"/>
        <v>0</v>
      </c>
      <c r="F3217" s="7"/>
      <c r="G3217" s="7"/>
      <c r="H3217" s="2"/>
      <c r="I3217" s="7"/>
      <c r="J3217" s="2"/>
      <c r="K3217" s="7"/>
      <c r="L3217" s="2"/>
      <c r="M3217" s="7"/>
    </row>
    <row r="3218" spans="1:13" ht="12.75">
      <c r="A3218" s="41" t="s">
        <v>65</v>
      </c>
      <c r="B3218" s="46"/>
      <c r="C3218" s="7"/>
      <c r="D3218" s="7"/>
      <c r="E3218" s="7">
        <f t="shared" si="55"/>
        <v>0</v>
      </c>
      <c r="F3218" s="7"/>
      <c r="G3218" s="7"/>
      <c r="H3218" s="2"/>
      <c r="I3218" s="7"/>
      <c r="J3218" s="2"/>
      <c r="K3218" s="7"/>
      <c r="L3218" s="2"/>
      <c r="M3218" s="7"/>
    </row>
    <row r="3219" spans="1:13" ht="12.75">
      <c r="A3219" s="41" t="s">
        <v>57</v>
      </c>
      <c r="B3219" s="46"/>
      <c r="C3219" s="7"/>
      <c r="D3219" s="7"/>
      <c r="E3219" s="7">
        <f t="shared" si="55"/>
        <v>25.734447000000003</v>
      </c>
      <c r="F3219" s="7"/>
      <c r="G3219" s="7"/>
      <c r="H3219" s="2"/>
      <c r="I3219" s="7">
        <f>0.0071*C3178</f>
        <v>25.734447000000003</v>
      </c>
      <c r="J3219" s="2"/>
      <c r="K3219" s="7"/>
      <c r="L3219" s="2"/>
      <c r="M3219" s="7"/>
    </row>
    <row r="3220" spans="1:13" ht="12.75">
      <c r="A3220" s="41" t="s">
        <v>33</v>
      </c>
      <c r="B3220" s="46"/>
      <c r="C3220" s="7"/>
      <c r="D3220" s="7"/>
      <c r="E3220" s="7">
        <f t="shared" si="55"/>
        <v>1237</v>
      </c>
      <c r="F3220" s="15"/>
      <c r="G3220" s="7"/>
      <c r="H3220" s="2"/>
      <c r="I3220" s="7"/>
      <c r="J3220" s="2"/>
      <c r="K3220" s="7"/>
      <c r="L3220" s="2"/>
      <c r="M3220" s="7">
        <v>1237</v>
      </c>
    </row>
    <row r="3221" spans="1:13" ht="12.75">
      <c r="A3221" s="41" t="s">
        <v>50</v>
      </c>
      <c r="B3221" s="46"/>
      <c r="C3221" s="7"/>
      <c r="D3221" s="7"/>
      <c r="E3221" s="7">
        <f t="shared" si="55"/>
        <v>3974.0245670000004</v>
      </c>
      <c r="F3221" s="7"/>
      <c r="G3221" s="7">
        <f>0.2455*C3178</f>
        <v>889.831935</v>
      </c>
      <c r="H3221" s="2"/>
      <c r="I3221" s="7">
        <f>0.5802*C3178</f>
        <v>2102.975514</v>
      </c>
      <c r="J3221" s="2"/>
      <c r="K3221" s="7">
        <f>0.1437*K3178</f>
        <v>520.875138</v>
      </c>
      <c r="L3221" s="2"/>
      <c r="M3221" s="7">
        <f>0.127*K3178</f>
        <v>460.34198</v>
      </c>
    </row>
    <row r="3222" spans="1:13" ht="13.5" thickBot="1">
      <c r="A3222" s="48" t="s">
        <v>54</v>
      </c>
      <c r="B3222" s="49"/>
      <c r="C3222" s="50"/>
      <c r="D3222" s="50"/>
      <c r="E3222" s="7">
        <f t="shared" si="55"/>
        <v>111.64066599999998</v>
      </c>
      <c r="F3222" s="50"/>
      <c r="G3222" s="50"/>
      <c r="H3222" s="22"/>
      <c r="I3222" s="50">
        <f>0.0078*C3178</f>
        <v>28.271646</v>
      </c>
      <c r="J3222" s="22"/>
      <c r="K3222" s="50">
        <f>0.011*K3178</f>
        <v>39.872139999999995</v>
      </c>
      <c r="L3222" s="22"/>
      <c r="M3222" s="50">
        <f>0.012*K3178</f>
        <v>43.49688</v>
      </c>
    </row>
    <row r="3223" spans="1:13" ht="13.5" thickBot="1">
      <c r="A3223" s="59" t="s">
        <v>10</v>
      </c>
      <c r="B3223" s="81"/>
      <c r="C3223" s="63"/>
      <c r="D3223" s="63"/>
      <c r="E3223" s="63">
        <f aca="true" t="shared" si="56" ref="E3223:E3231">G3223+I3223+K3223+M3223</f>
        <v>134757.4334701</v>
      </c>
      <c r="F3223" s="63"/>
      <c r="G3223" s="63">
        <f>SUM(G3203:G3222)</f>
        <v>14139.831935</v>
      </c>
      <c r="H3223" s="26"/>
      <c r="I3223" s="63">
        <f>SUM(I3202:I3222)</f>
        <v>47167.455866899996</v>
      </c>
      <c r="J3223" s="26"/>
      <c r="K3223" s="63">
        <f>SUM(K3202:K3222)</f>
        <v>39379.180674</v>
      </c>
      <c r="L3223" s="26"/>
      <c r="M3223" s="29">
        <f>SUM(M3202:M3222)</f>
        <v>34070.96499419999</v>
      </c>
    </row>
    <row r="3224" spans="1:13" ht="12.75">
      <c r="A3224" s="60" t="s">
        <v>42</v>
      </c>
      <c r="B3224" s="55"/>
      <c r="C3224" s="66"/>
      <c r="D3224" s="66"/>
      <c r="E3224" s="56">
        <f t="shared" si="56"/>
        <v>0</v>
      </c>
      <c r="F3224" s="66"/>
      <c r="G3224" s="56"/>
      <c r="H3224" s="74"/>
      <c r="I3224" s="56"/>
      <c r="J3224" s="74"/>
      <c r="K3224" s="56"/>
      <c r="L3224" s="74"/>
      <c r="M3224" s="56"/>
    </row>
    <row r="3225" spans="1:13" ht="12.75">
      <c r="A3225" s="41" t="s">
        <v>56</v>
      </c>
      <c r="B3225" s="46"/>
      <c r="C3225" s="7"/>
      <c r="D3225" s="7"/>
      <c r="E3225" s="7">
        <f t="shared" si="56"/>
        <v>0</v>
      </c>
      <c r="F3225" s="7"/>
      <c r="G3225" s="7"/>
      <c r="H3225" s="2"/>
      <c r="I3225" s="7"/>
      <c r="J3225" s="2"/>
      <c r="K3225" s="7"/>
      <c r="L3225" s="2"/>
      <c r="M3225" s="7"/>
    </row>
    <row r="3226" spans="1:13" ht="12.75">
      <c r="A3226" s="138" t="s">
        <v>437</v>
      </c>
      <c r="B3226" s="46"/>
      <c r="C3226" s="7"/>
      <c r="D3226" s="7"/>
      <c r="E3226" s="7">
        <f t="shared" si="56"/>
        <v>267.2</v>
      </c>
      <c r="F3226" s="7"/>
      <c r="G3226" s="7"/>
      <c r="H3226" s="2"/>
      <c r="I3226" s="7"/>
      <c r="J3226" s="2"/>
      <c r="K3226" s="7"/>
      <c r="L3226" s="2"/>
      <c r="M3226" s="7">
        <v>267.2</v>
      </c>
    </row>
    <row r="3227" spans="1:13" ht="12.75">
      <c r="A3227" s="41" t="s">
        <v>156</v>
      </c>
      <c r="B3227" s="46"/>
      <c r="C3227" s="7"/>
      <c r="D3227" s="7"/>
      <c r="E3227" s="7">
        <f t="shared" si="56"/>
        <v>158</v>
      </c>
      <c r="F3227" s="7"/>
      <c r="G3227" s="7"/>
      <c r="H3227" s="2"/>
      <c r="I3227" s="7"/>
      <c r="J3227" s="2"/>
      <c r="K3227" s="7"/>
      <c r="L3227" s="2"/>
      <c r="M3227" s="7">
        <v>158</v>
      </c>
    </row>
    <row r="3228" spans="1:13" ht="12.75">
      <c r="A3228" s="41" t="s">
        <v>172</v>
      </c>
      <c r="B3228" s="46"/>
      <c r="C3228" s="7"/>
      <c r="D3228" s="7"/>
      <c r="E3228" s="7">
        <f t="shared" si="56"/>
        <v>1080</v>
      </c>
      <c r="F3228" s="7"/>
      <c r="G3228" s="7">
        <v>580</v>
      </c>
      <c r="H3228" s="2"/>
      <c r="I3228" s="7">
        <v>500</v>
      </c>
      <c r="J3228" s="2"/>
      <c r="K3228" s="7"/>
      <c r="L3228" s="2"/>
      <c r="M3228" s="7"/>
    </row>
    <row r="3229" spans="1:13" ht="13.5" thickBot="1">
      <c r="A3229" s="48" t="s">
        <v>16</v>
      </c>
      <c r="B3229" s="49"/>
      <c r="C3229" s="50"/>
      <c r="D3229" s="50"/>
      <c r="E3229" s="50">
        <f t="shared" si="56"/>
        <v>129.401705</v>
      </c>
      <c r="F3229" s="50"/>
      <c r="G3229" s="50">
        <f>0.0089*C3178</f>
        <v>32.258673</v>
      </c>
      <c r="H3229" s="22"/>
      <c r="I3229" s="50"/>
      <c r="J3229" s="22"/>
      <c r="K3229" s="50"/>
      <c r="L3229" s="22"/>
      <c r="M3229" s="50">
        <f>0.0268*K3178</f>
        <v>97.14303199999999</v>
      </c>
    </row>
    <row r="3230" spans="1:13" ht="13.5" thickBot="1">
      <c r="A3230" s="62" t="s">
        <v>10</v>
      </c>
      <c r="B3230" s="81"/>
      <c r="C3230" s="63"/>
      <c r="D3230" s="63"/>
      <c r="E3230" s="63">
        <f t="shared" si="56"/>
        <v>1634.601705</v>
      </c>
      <c r="F3230" s="63"/>
      <c r="G3230" s="63">
        <f>SUM(G3225:G3229)</f>
        <v>612.258673</v>
      </c>
      <c r="H3230" s="26"/>
      <c r="I3230" s="63">
        <f>SUM(I3225:I3229)</f>
        <v>500</v>
      </c>
      <c r="J3230" s="26"/>
      <c r="K3230" s="63"/>
      <c r="L3230" s="26"/>
      <c r="M3230" s="29">
        <f>SUM(M3225:M3229)</f>
        <v>522.343032</v>
      </c>
    </row>
    <row r="3231" spans="1:13" ht="13.5" thickBot="1">
      <c r="A3231" s="64" t="s">
        <v>29</v>
      </c>
      <c r="B3231" s="81"/>
      <c r="C3231" s="63"/>
      <c r="D3231" s="63"/>
      <c r="E3231" s="63">
        <f t="shared" si="56"/>
        <v>8310.267878999999</v>
      </c>
      <c r="F3231" s="63"/>
      <c r="G3231" s="63">
        <f>0.4236*C3178</f>
        <v>1535.367852</v>
      </c>
      <c r="H3231" s="26"/>
      <c r="I3231" s="63">
        <f>0.5971*C3178</f>
        <v>2164.230747</v>
      </c>
      <c r="J3231" s="26"/>
      <c r="K3231" s="63"/>
      <c r="L3231" s="26"/>
      <c r="M3231" s="29">
        <f>1.272*K3178</f>
        <v>4610.66928</v>
      </c>
    </row>
    <row r="3232" spans="1:13" ht="21.75">
      <c r="A3232" s="65" t="s">
        <v>83</v>
      </c>
      <c r="B3232" s="61"/>
      <c r="C3232" s="56"/>
      <c r="D3232" s="56"/>
      <c r="E3232" s="56">
        <f>E3200+E3223+E3230+E3231</f>
        <v>407143.4386580999</v>
      </c>
      <c r="F3232" s="56"/>
      <c r="G3232" s="56">
        <f>G3200+G3223+G3230+G3231</f>
        <v>81328.16669679999</v>
      </c>
      <c r="H3232" s="74"/>
      <c r="I3232" s="56">
        <f>I3200+I3223+I3230+I3231</f>
        <v>121768.6484081</v>
      </c>
      <c r="J3232" s="74"/>
      <c r="K3232" s="56">
        <f>K3200+K3223+K3230+K3231</f>
        <v>105649.8220112</v>
      </c>
      <c r="L3232" s="74"/>
      <c r="M3232" s="56">
        <f>M3200+M3223+M3230+M3231</f>
        <v>98396.801542</v>
      </c>
    </row>
    <row r="3233" spans="1:13" ht="33.75">
      <c r="A3233" s="67" t="s">
        <v>84</v>
      </c>
      <c r="B3233" s="46"/>
      <c r="C3233" s="7"/>
      <c r="D3233" s="7"/>
      <c r="E3233" s="8">
        <f>E3232/6/C3178</f>
        <v>18.72145931140797</v>
      </c>
      <c r="F3233" s="7"/>
      <c r="G3233" s="8">
        <f>G3232/3/C3178</f>
        <v>7.479339314438218</v>
      </c>
      <c r="H3233" s="2"/>
      <c r="I3233" s="8">
        <f>I3232/3/C3178</f>
        <v>11.198445462321505</v>
      </c>
      <c r="J3233" s="2"/>
      <c r="K3233" s="8">
        <f>K3232/3/K3178</f>
        <v>9.715623006634038</v>
      </c>
      <c r="L3233" s="2"/>
      <c r="M3233" s="8">
        <f>M3232/3/K3178</f>
        <v>9.048630756228953</v>
      </c>
    </row>
    <row r="3234" spans="1:13" ht="12.75">
      <c r="A3234" s="69" t="s">
        <v>20</v>
      </c>
      <c r="B3234" s="44"/>
      <c r="C3234" s="45"/>
      <c r="D3234" s="45"/>
      <c r="E3234" s="45">
        <f>E3183-E3232</f>
        <v>976.901341900113</v>
      </c>
      <c r="F3234" s="45"/>
      <c r="G3234" s="7">
        <f>G3183-G3232</f>
        <v>8736.27330320001</v>
      </c>
      <c r="H3234" s="2"/>
      <c r="I3234" s="7">
        <f>I3183-I3232+G3234</f>
        <v>-4560.735104899984</v>
      </c>
      <c r="J3234" s="2"/>
      <c r="K3234" s="7">
        <f>K3183-K3232-4561</f>
        <v>-8511.2620112</v>
      </c>
      <c r="L3234" s="2"/>
      <c r="M3234" s="7">
        <f>M3183-M3232-8511</f>
        <v>976.898457999996</v>
      </c>
    </row>
    <row r="3235" spans="1:13" ht="12.75">
      <c r="A3235" s="14" t="s">
        <v>24</v>
      </c>
      <c r="B3235" s="14"/>
      <c r="C3235" s="14"/>
      <c r="D3235" s="14"/>
      <c r="E3235" s="14"/>
      <c r="F3235" s="14"/>
      <c r="G3235" s="14"/>
      <c r="H3235" s="14"/>
      <c r="I3235" s="14"/>
      <c r="J3235" s="14"/>
      <c r="K3235" s="14"/>
      <c r="L3235" s="14"/>
      <c r="M3235" s="14"/>
    </row>
    <row r="3236" spans="1:13" ht="12.75">
      <c r="A3236" s="14" t="s">
        <v>35</v>
      </c>
      <c r="B3236" s="14"/>
      <c r="C3236" s="14"/>
      <c r="D3236" s="14"/>
      <c r="E3236" s="14"/>
      <c r="F3236" s="14"/>
      <c r="G3236" s="14"/>
      <c r="H3236" s="14"/>
      <c r="I3236" s="14"/>
      <c r="J3236" s="14"/>
      <c r="K3236" s="14"/>
      <c r="L3236" s="14"/>
      <c r="M3236" s="14"/>
    </row>
    <row r="3237" spans="1:13" ht="12.75">
      <c r="A3237" s="14" t="s">
        <v>25</v>
      </c>
      <c r="B3237" s="14"/>
      <c r="C3237" s="14"/>
      <c r="D3237" s="14"/>
      <c r="E3237" s="14"/>
      <c r="F3237" s="14"/>
      <c r="G3237" s="14"/>
      <c r="H3237" s="14"/>
      <c r="I3237" s="14"/>
      <c r="J3237" s="14"/>
      <c r="K3237" s="14"/>
      <c r="L3237" s="14"/>
      <c r="M3237" s="14"/>
    </row>
    <row r="3238" spans="1:13" ht="12.75">
      <c r="A3238" s="14"/>
      <c r="B3238" s="14"/>
      <c r="C3238" s="14"/>
      <c r="D3238" s="14"/>
      <c r="E3238" s="14"/>
      <c r="F3238" s="14"/>
      <c r="G3238" s="14"/>
      <c r="H3238" s="14"/>
      <c r="I3238" s="14"/>
      <c r="J3238" s="14"/>
      <c r="K3238" s="14"/>
      <c r="L3238" s="14"/>
      <c r="M3238" s="14"/>
    </row>
    <row r="3239" spans="1:13" ht="12.75">
      <c r="A3239" s="14"/>
      <c r="B3239" s="14"/>
      <c r="C3239" s="14"/>
      <c r="D3239" s="14"/>
      <c r="E3239" s="14"/>
      <c r="F3239" s="14"/>
      <c r="G3239" s="14"/>
      <c r="H3239" s="14"/>
      <c r="I3239" s="14"/>
      <c r="J3239" s="14"/>
      <c r="K3239" s="14"/>
      <c r="L3239" s="14"/>
      <c r="M3239" s="14"/>
    </row>
    <row r="3240" spans="1:13" ht="12.75">
      <c r="A3240" s="14"/>
      <c r="B3240" s="14"/>
      <c r="C3240" s="14"/>
      <c r="D3240" s="14"/>
      <c r="E3240" s="14"/>
      <c r="F3240" s="14"/>
      <c r="G3240" s="14"/>
      <c r="H3240" s="14"/>
      <c r="I3240" s="14"/>
      <c r="J3240" s="14"/>
      <c r="K3240" s="14"/>
      <c r="L3240" s="14"/>
      <c r="M3240" s="14"/>
    </row>
    <row r="3241" spans="1:13" ht="12.75">
      <c r="A3241" s="14"/>
      <c r="B3241" s="14"/>
      <c r="C3241" s="14"/>
      <c r="D3241" s="14"/>
      <c r="E3241" s="14"/>
      <c r="F3241" s="14"/>
      <c r="G3241" s="14"/>
      <c r="H3241" s="14"/>
      <c r="I3241" s="14"/>
      <c r="J3241" s="14"/>
      <c r="K3241" s="14"/>
      <c r="L3241" s="14"/>
      <c r="M3241" s="14"/>
    </row>
    <row r="3242" spans="1:13" ht="12.75">
      <c r="A3242" s="14"/>
      <c r="B3242" s="14"/>
      <c r="C3242" s="14"/>
      <c r="D3242" s="14"/>
      <c r="E3242" s="14"/>
      <c r="F3242" s="14"/>
      <c r="G3242" s="14"/>
      <c r="H3242" s="14"/>
      <c r="I3242" s="14"/>
      <c r="J3242" s="14"/>
      <c r="K3242" s="14"/>
      <c r="L3242" s="14"/>
      <c r="M3242" s="14"/>
    </row>
    <row r="3243" spans="1:13" ht="12.75">
      <c r="A3243" s="14"/>
      <c r="B3243" s="14"/>
      <c r="C3243" s="14"/>
      <c r="D3243" s="14"/>
      <c r="E3243" s="14"/>
      <c r="F3243" s="14"/>
      <c r="G3243" s="14"/>
      <c r="H3243" s="14"/>
      <c r="I3243" s="14"/>
      <c r="J3243" s="14"/>
      <c r="K3243" s="14"/>
      <c r="L3243" s="14"/>
      <c r="M3243" s="14"/>
    </row>
    <row r="3244" spans="1:13" ht="12.75">
      <c r="A3244" s="14"/>
      <c r="B3244" s="14"/>
      <c r="C3244" s="14"/>
      <c r="D3244" s="14"/>
      <c r="E3244" s="14"/>
      <c r="F3244" s="14"/>
      <c r="G3244" s="14"/>
      <c r="H3244" s="14"/>
      <c r="I3244" s="14"/>
      <c r="J3244" s="14"/>
      <c r="K3244" s="14"/>
      <c r="L3244" s="14"/>
      <c r="M3244" s="14"/>
    </row>
    <row r="3245" spans="1:13" ht="12.75">
      <c r="A3245" s="14"/>
      <c r="B3245" s="14"/>
      <c r="C3245" s="14"/>
      <c r="D3245" s="14"/>
      <c r="E3245" s="14"/>
      <c r="F3245" s="14"/>
      <c r="G3245" s="14"/>
      <c r="H3245" s="14"/>
      <c r="I3245" s="14"/>
      <c r="J3245" s="14"/>
      <c r="K3245" s="14"/>
      <c r="L3245" s="14"/>
      <c r="M3245" s="14"/>
    </row>
    <row r="3246" spans="1:13" ht="12.75">
      <c r="A3246" s="14"/>
      <c r="B3246" s="14"/>
      <c r="C3246" s="14"/>
      <c r="D3246" s="14"/>
      <c r="E3246" s="14"/>
      <c r="F3246" s="14"/>
      <c r="G3246" s="14"/>
      <c r="H3246" s="14"/>
      <c r="I3246" s="14"/>
      <c r="J3246" s="14"/>
      <c r="K3246" s="14"/>
      <c r="L3246" s="14"/>
      <c r="M3246" s="14"/>
    </row>
    <row r="3247" spans="1:13" ht="12.75">
      <c r="A3247" s="14"/>
      <c r="B3247" s="14"/>
      <c r="C3247" s="14"/>
      <c r="D3247" s="14"/>
      <c r="E3247" s="14"/>
      <c r="F3247" s="14"/>
      <c r="G3247" s="14"/>
      <c r="H3247" s="14"/>
      <c r="I3247" s="14"/>
      <c r="J3247" s="14"/>
      <c r="K3247" s="14"/>
      <c r="L3247" s="14"/>
      <c r="M3247" s="14"/>
    </row>
    <row r="3248" spans="1:13" ht="12.75">
      <c r="A3248" s="14"/>
      <c r="B3248" s="14"/>
      <c r="C3248" s="14"/>
      <c r="D3248" s="14"/>
      <c r="E3248" s="14"/>
      <c r="F3248" s="14"/>
      <c r="G3248" s="14"/>
      <c r="H3248" s="14"/>
      <c r="I3248" s="14"/>
      <c r="J3248" s="14"/>
      <c r="K3248" s="14"/>
      <c r="L3248" s="14"/>
      <c r="M3248" s="14"/>
    </row>
    <row r="3249" spans="1:13" ht="12.75">
      <c r="A3249" s="14"/>
      <c r="B3249" s="14"/>
      <c r="C3249" s="14"/>
      <c r="D3249" s="14"/>
      <c r="E3249" s="14"/>
      <c r="F3249" s="14"/>
      <c r="G3249" s="14"/>
      <c r="H3249" s="14"/>
      <c r="I3249" s="14"/>
      <c r="J3249" s="14"/>
      <c r="K3249" s="14"/>
      <c r="L3249" s="14"/>
      <c r="M3249" s="14"/>
    </row>
    <row r="3250" spans="1:13" ht="12.75">
      <c r="A3250" s="14"/>
      <c r="B3250" s="14"/>
      <c r="C3250" s="14"/>
      <c r="D3250" s="14"/>
      <c r="E3250" s="14"/>
      <c r="F3250" s="14"/>
      <c r="G3250" s="14"/>
      <c r="H3250" s="14"/>
      <c r="I3250" s="14"/>
      <c r="J3250" s="14"/>
      <c r="K3250" s="14"/>
      <c r="L3250" s="14"/>
      <c r="M3250" s="14"/>
    </row>
    <row r="3251" spans="1:13" ht="12.75">
      <c r="A3251" s="14"/>
      <c r="B3251" s="14"/>
      <c r="C3251" s="14"/>
      <c r="D3251" s="14"/>
      <c r="E3251" s="14"/>
      <c r="F3251" s="14"/>
      <c r="G3251" s="14"/>
      <c r="H3251" s="14"/>
      <c r="I3251" s="14"/>
      <c r="J3251" s="14"/>
      <c r="K3251" s="14"/>
      <c r="L3251" s="14"/>
      <c r="M3251" s="14"/>
    </row>
    <row r="3252" spans="1:13" ht="12" customHeight="1">
      <c r="A3252" s="14"/>
      <c r="B3252" s="14"/>
      <c r="C3252" s="14"/>
      <c r="D3252" s="14"/>
      <c r="E3252" s="14"/>
      <c r="F3252" s="14"/>
      <c r="G3252" s="14"/>
      <c r="H3252" s="14"/>
      <c r="I3252" s="14"/>
      <c r="J3252" s="14"/>
      <c r="K3252" s="14"/>
      <c r="L3252" s="14"/>
      <c r="M3252" s="14"/>
    </row>
    <row r="3253" spans="1:13" ht="12.75" hidden="1">
      <c r="A3253" s="14"/>
      <c r="B3253" s="14"/>
      <c r="C3253" s="14"/>
      <c r="D3253" s="14"/>
      <c r="E3253" s="14"/>
      <c r="F3253" s="14"/>
      <c r="G3253" s="14"/>
      <c r="H3253" s="14"/>
      <c r="I3253" s="14"/>
      <c r="J3253" s="14"/>
      <c r="K3253" s="14"/>
      <c r="L3253" s="14"/>
      <c r="M3253" s="14"/>
    </row>
    <row r="3254" spans="1:13" ht="12.75" hidden="1">
      <c r="A3254" s="14"/>
      <c r="B3254" s="14"/>
      <c r="C3254" s="14"/>
      <c r="D3254" s="14"/>
      <c r="E3254" s="14"/>
      <c r="F3254" s="14"/>
      <c r="G3254" s="14"/>
      <c r="H3254" s="14"/>
      <c r="I3254" s="14"/>
      <c r="J3254" s="14"/>
      <c r="K3254" s="14"/>
      <c r="L3254" s="14"/>
      <c r="M3254" s="14"/>
    </row>
    <row r="3255" spans="1:13" ht="12.75" hidden="1">
      <c r="A3255" s="14"/>
      <c r="B3255" s="14"/>
      <c r="C3255" s="14"/>
      <c r="D3255" s="14"/>
      <c r="E3255" s="14"/>
      <c r="F3255" s="14"/>
      <c r="G3255" s="14"/>
      <c r="H3255" s="14"/>
      <c r="I3255" s="14"/>
      <c r="J3255" s="14"/>
      <c r="K3255" s="14"/>
      <c r="L3255" s="14"/>
      <c r="M3255" s="14"/>
    </row>
    <row r="3256" spans="1:13" ht="12.75" hidden="1">
      <c r="A3256" s="14"/>
      <c r="B3256" s="14"/>
      <c r="C3256" s="14"/>
      <c r="D3256" s="14"/>
      <c r="E3256" s="14"/>
      <c r="F3256" s="14"/>
      <c r="G3256" s="14"/>
      <c r="H3256" s="14"/>
      <c r="I3256" s="14"/>
      <c r="J3256" s="14"/>
      <c r="K3256" s="14"/>
      <c r="L3256" s="14"/>
      <c r="M3256" s="14"/>
    </row>
    <row r="3257" spans="1:13" ht="3" customHeight="1" hidden="1">
      <c r="A3257" s="14"/>
      <c r="B3257" s="14"/>
      <c r="C3257" s="14"/>
      <c r="D3257" s="14"/>
      <c r="E3257" s="14"/>
      <c r="F3257" s="14"/>
      <c r="G3257" s="14"/>
      <c r="H3257" s="14"/>
      <c r="I3257" s="14"/>
      <c r="J3257" s="14"/>
      <c r="K3257" s="14"/>
      <c r="L3257" s="14"/>
      <c r="M3257" s="14"/>
    </row>
    <row r="3258" spans="1:13" ht="12.75" hidden="1">
      <c r="A3258" s="14"/>
      <c r="B3258" s="14"/>
      <c r="C3258" s="14"/>
      <c r="D3258" s="14"/>
      <c r="E3258" s="14"/>
      <c r="F3258" s="14"/>
      <c r="G3258" s="14"/>
      <c r="H3258" s="14"/>
      <c r="I3258" s="14"/>
      <c r="J3258" s="14"/>
      <c r="K3258" s="14"/>
      <c r="L3258" s="14"/>
      <c r="M3258" s="14"/>
    </row>
    <row r="3259" spans="1:13" ht="12.75" hidden="1">
      <c r="A3259" s="14"/>
      <c r="B3259" s="14"/>
      <c r="C3259" s="14"/>
      <c r="D3259" s="14"/>
      <c r="E3259" s="14"/>
      <c r="F3259" s="14"/>
      <c r="G3259" s="14"/>
      <c r="H3259" s="14"/>
      <c r="I3259" s="14"/>
      <c r="J3259" s="14"/>
      <c r="K3259" s="14"/>
      <c r="L3259" s="14"/>
      <c r="M3259" s="14"/>
    </row>
    <row r="3260" spans="1:13" ht="12.75" hidden="1">
      <c r="A3260" s="14"/>
      <c r="B3260" s="14"/>
      <c r="C3260" s="14"/>
      <c r="D3260" s="14"/>
      <c r="E3260" s="14"/>
      <c r="F3260" s="14"/>
      <c r="G3260" s="14"/>
      <c r="H3260" s="14"/>
      <c r="I3260" s="14"/>
      <c r="J3260" s="14"/>
      <c r="K3260" s="14"/>
      <c r="L3260" s="14"/>
      <c r="M3260" s="14"/>
    </row>
    <row r="3261" spans="1:13" ht="12.75">
      <c r="A3261" s="31" t="s">
        <v>21</v>
      </c>
      <c r="B3261" s="31"/>
      <c r="C3261" s="14"/>
      <c r="D3261" s="14"/>
      <c r="E3261" s="14"/>
      <c r="F3261" s="14"/>
      <c r="G3261" s="14"/>
      <c r="H3261" s="14"/>
      <c r="I3261" s="14"/>
      <c r="J3261" s="14"/>
      <c r="K3261" s="14"/>
      <c r="L3261" s="14"/>
      <c r="M3261" s="14"/>
    </row>
    <row r="3262" spans="1:13" ht="12.75">
      <c r="A3262" s="14" t="s">
        <v>31</v>
      </c>
      <c r="B3262" s="14"/>
      <c r="C3262" s="14"/>
      <c r="D3262" s="14"/>
      <c r="E3262" s="14"/>
      <c r="F3262" s="14"/>
      <c r="G3262" s="14"/>
      <c r="H3262" s="14"/>
      <c r="I3262" s="14"/>
      <c r="J3262" s="14"/>
      <c r="K3262" s="14"/>
      <c r="L3262" s="14"/>
      <c r="M3262" s="14"/>
    </row>
    <row r="3263" spans="1:13" ht="12.75">
      <c r="A3263" s="14" t="s">
        <v>41</v>
      </c>
      <c r="B3263" s="14"/>
      <c r="C3263" s="14"/>
      <c r="D3263" s="14"/>
      <c r="E3263" s="14"/>
      <c r="F3263" s="14"/>
      <c r="G3263" s="14"/>
      <c r="H3263" s="14"/>
      <c r="I3263" s="14"/>
      <c r="J3263" s="14"/>
      <c r="K3263" s="14"/>
      <c r="L3263" s="14"/>
      <c r="M3263" s="14"/>
    </row>
    <row r="3264" spans="1:13" ht="12.75">
      <c r="A3264" s="14" t="s">
        <v>135</v>
      </c>
      <c r="B3264" s="14"/>
      <c r="C3264" s="14"/>
      <c r="D3264" s="14"/>
      <c r="E3264" s="14" t="s">
        <v>32</v>
      </c>
      <c r="F3264" s="14"/>
      <c r="G3264" s="14"/>
      <c r="H3264" s="14"/>
      <c r="I3264" s="14"/>
      <c r="J3264" s="14"/>
      <c r="K3264" s="14"/>
      <c r="L3264" s="14"/>
      <c r="M3264" s="14"/>
    </row>
    <row r="3265" spans="1:13" ht="28.5" customHeight="1">
      <c r="A3265" s="6" t="s">
        <v>0</v>
      </c>
      <c r="B3265" s="151" t="s">
        <v>38</v>
      </c>
      <c r="C3265" s="152"/>
      <c r="D3265" s="149" t="s">
        <v>39</v>
      </c>
      <c r="E3265" s="150"/>
      <c r="F3265" s="149" t="s">
        <v>96</v>
      </c>
      <c r="G3265" s="150"/>
      <c r="H3265" s="149" t="s">
        <v>97</v>
      </c>
      <c r="I3265" s="150"/>
      <c r="J3265" s="149" t="s">
        <v>98</v>
      </c>
      <c r="K3265" s="150"/>
      <c r="L3265" s="149" t="s">
        <v>99</v>
      </c>
      <c r="M3265" s="150"/>
    </row>
    <row r="3266" spans="1:13" ht="12.75">
      <c r="A3266" s="11" t="s">
        <v>5</v>
      </c>
      <c r="B3266" s="153"/>
      <c r="C3266" s="154"/>
      <c r="D3266" s="6" t="s">
        <v>40</v>
      </c>
      <c r="E3266" s="6" t="s">
        <v>22</v>
      </c>
      <c r="F3266" s="6" t="s">
        <v>40</v>
      </c>
      <c r="G3266" s="13" t="s">
        <v>22</v>
      </c>
      <c r="H3266" s="6" t="s">
        <v>40</v>
      </c>
      <c r="I3266" s="6" t="s">
        <v>22</v>
      </c>
      <c r="J3266" s="6" t="s">
        <v>40</v>
      </c>
      <c r="K3266" s="6" t="s">
        <v>22</v>
      </c>
      <c r="L3266" s="6" t="s">
        <v>40</v>
      </c>
      <c r="M3266" s="6" t="s">
        <v>22</v>
      </c>
    </row>
    <row r="3267" spans="1:13" ht="12.75">
      <c r="A3267" s="2" t="s">
        <v>1</v>
      </c>
      <c r="B3267" s="2"/>
      <c r="C3267" s="6">
        <v>5</v>
      </c>
      <c r="D3267" s="2"/>
      <c r="E3267" s="2"/>
      <c r="F3267" s="2"/>
      <c r="G3267" s="2"/>
      <c r="H3267" s="2"/>
      <c r="I3267" s="2"/>
      <c r="J3267" s="2"/>
      <c r="K3267" s="2"/>
      <c r="L3267" s="2"/>
      <c r="M3267" s="2"/>
    </row>
    <row r="3268" spans="1:13" ht="12.75">
      <c r="A3268" s="2" t="s">
        <v>2</v>
      </c>
      <c r="B3268" s="2"/>
      <c r="C3268" s="6">
        <v>4</v>
      </c>
      <c r="D3268" s="2"/>
      <c r="E3268" s="2"/>
      <c r="F3268" s="2"/>
      <c r="G3268" s="2"/>
      <c r="H3268" s="2"/>
      <c r="I3268" s="2"/>
      <c r="J3268" s="2"/>
      <c r="K3268" s="2"/>
      <c r="L3268" s="2"/>
      <c r="M3268" s="2"/>
    </row>
    <row r="3269" spans="1:13" ht="12.75">
      <c r="A3269" s="2" t="s">
        <v>3</v>
      </c>
      <c r="B3269" s="2"/>
      <c r="C3269" s="6">
        <v>40</v>
      </c>
      <c r="D3269" s="2"/>
      <c r="E3269" s="2"/>
      <c r="F3269" s="2"/>
      <c r="G3269" s="2"/>
      <c r="H3269" s="2"/>
      <c r="I3269" s="2"/>
      <c r="J3269" s="2"/>
      <c r="K3269" s="2"/>
      <c r="L3269" s="2"/>
      <c r="M3269" s="2"/>
    </row>
    <row r="3270" spans="1:13" ht="12.75">
      <c r="A3270" s="2" t="s">
        <v>4</v>
      </c>
      <c r="B3270" s="6"/>
      <c r="C3270" s="6">
        <v>2524.4</v>
      </c>
      <c r="D3270" s="6"/>
      <c r="E3270" s="6"/>
      <c r="F3270" s="6"/>
      <c r="G3270" s="2"/>
      <c r="H3270" s="2"/>
      <c r="I3270" s="2"/>
      <c r="J3270" s="2"/>
      <c r="K3270" s="2">
        <v>2523.32</v>
      </c>
      <c r="L3270" s="2"/>
      <c r="M3270" s="2"/>
    </row>
    <row r="3271" spans="1:13" ht="21.75">
      <c r="A3271" s="35" t="s">
        <v>6</v>
      </c>
      <c r="B3271" s="11" t="s">
        <v>40</v>
      </c>
      <c r="C3271" s="2" t="s">
        <v>22</v>
      </c>
      <c r="D3271" s="2"/>
      <c r="E3271" s="2"/>
      <c r="F3271" s="2"/>
      <c r="G3271" s="2"/>
      <c r="H3271" s="2"/>
      <c r="I3271" s="2"/>
      <c r="J3271" s="2"/>
      <c r="K3271" s="2"/>
      <c r="L3271" s="2"/>
      <c r="M3271" s="2"/>
    </row>
    <row r="3272" spans="1:13" ht="22.5">
      <c r="A3272" s="40" t="s">
        <v>7</v>
      </c>
      <c r="B3272" s="3"/>
      <c r="C3272" s="6"/>
      <c r="D3272" s="6"/>
      <c r="E3272" s="6">
        <f>G3272+I3272+K3272+M3272</f>
        <v>272550.7</v>
      </c>
      <c r="F3272" s="2"/>
      <c r="G3272" s="2">
        <v>57781.01</v>
      </c>
      <c r="H3272" s="2"/>
      <c r="I3272" s="6">
        <v>72479.9</v>
      </c>
      <c r="J3272" s="2"/>
      <c r="K3272" s="2">
        <v>77783.56</v>
      </c>
      <c r="L3272" s="2"/>
      <c r="M3272" s="2">
        <v>64506.23</v>
      </c>
    </row>
    <row r="3273" spans="1:13" ht="12.75">
      <c r="A3273" s="41" t="s">
        <v>8</v>
      </c>
      <c r="B3273" s="3"/>
      <c r="C3273" s="6"/>
      <c r="D3273" s="6"/>
      <c r="E3273" s="6"/>
      <c r="F3273" s="2"/>
      <c r="G3273" s="2"/>
      <c r="H3273" s="2"/>
      <c r="I3273" s="6"/>
      <c r="J3273" s="2"/>
      <c r="K3273" s="2"/>
      <c r="L3273" s="2"/>
      <c r="M3273" s="2"/>
    </row>
    <row r="3274" spans="1:13" ht="12.75">
      <c r="A3274" s="41" t="s">
        <v>9</v>
      </c>
      <c r="B3274" s="3"/>
      <c r="C3274" s="6"/>
      <c r="D3274" s="6"/>
      <c r="E3274" s="6"/>
      <c r="F3274" s="2"/>
      <c r="G3274" s="2"/>
      <c r="H3274" s="2"/>
      <c r="I3274" s="6"/>
      <c r="J3274" s="2"/>
      <c r="K3274" s="2"/>
      <c r="L3274" s="2"/>
      <c r="M3274" s="2"/>
    </row>
    <row r="3275" spans="1:13" ht="12.75">
      <c r="A3275" s="2" t="s">
        <v>10</v>
      </c>
      <c r="B3275" s="42"/>
      <c r="C3275" s="11"/>
      <c r="D3275" s="11"/>
      <c r="E3275" s="11">
        <f>SUM(E3272:E3274)</f>
        <v>272550.7</v>
      </c>
      <c r="F3275" s="37"/>
      <c r="G3275" s="37">
        <f>SUM(G3272:G3274)</f>
        <v>57781.01</v>
      </c>
      <c r="H3275" s="2"/>
      <c r="I3275" s="6">
        <f>SUM(I3272:I3274)</f>
        <v>72479.9</v>
      </c>
      <c r="J3275" s="2"/>
      <c r="K3275" s="2">
        <f>SUM(K3272:K3274)</f>
        <v>77783.56</v>
      </c>
      <c r="L3275" s="2"/>
      <c r="M3275" s="2">
        <f>SUM(M3272:M3274)</f>
        <v>64506.23</v>
      </c>
    </row>
    <row r="3276" spans="1:13" ht="21.75">
      <c r="A3276" s="35" t="s">
        <v>82</v>
      </c>
      <c r="B3276" s="42"/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</row>
    <row r="3277" spans="1:13" ht="12.75">
      <c r="A3277" s="43" t="s">
        <v>11</v>
      </c>
      <c r="B3277" s="44"/>
      <c r="C3277" s="45"/>
      <c r="D3277" s="45"/>
      <c r="E3277" s="45">
        <f>G3277+I3277+K3277+M3277</f>
        <v>82329.9275632</v>
      </c>
      <c r="F3277" s="45"/>
      <c r="G3277" s="45">
        <f>7.99407*C3270</f>
        <v>20180.230308000002</v>
      </c>
      <c r="H3277" s="2"/>
      <c r="I3277" s="7">
        <f>9.57707*C3270</f>
        <v>24176.355508000004</v>
      </c>
      <c r="J3277" s="2"/>
      <c r="K3277" s="7">
        <f>7.32829*K3270</f>
        <v>18491.620722800002</v>
      </c>
      <c r="L3277" s="2"/>
      <c r="M3277" s="7">
        <f>7.72067*K3270</f>
        <v>19481.7210244</v>
      </c>
    </row>
    <row r="3278" spans="1:13" ht="12.75">
      <c r="A3278" s="43" t="s">
        <v>12</v>
      </c>
      <c r="B3278" s="46"/>
      <c r="C3278" s="7"/>
      <c r="D3278" s="7"/>
      <c r="E3278" s="7">
        <f aca="true" t="shared" si="57" ref="E3278:E3324">G3278+I3278+K3278+M3278</f>
        <v>0</v>
      </c>
      <c r="F3278" s="7"/>
      <c r="G3278" s="7"/>
      <c r="H3278" s="2"/>
      <c r="I3278" s="7"/>
      <c r="J3278" s="2"/>
      <c r="K3278" s="7"/>
      <c r="L3278" s="2"/>
      <c r="M3278" s="7"/>
    </row>
    <row r="3279" spans="1:13" ht="12.75">
      <c r="A3279" s="41" t="s">
        <v>13</v>
      </c>
      <c r="B3279" s="46"/>
      <c r="C3279" s="7"/>
      <c r="D3279" s="7"/>
      <c r="E3279" s="45">
        <f t="shared" si="57"/>
        <v>98880.1096908</v>
      </c>
      <c r="F3279" s="45"/>
      <c r="G3279" s="45">
        <f>G3280+G3282+G3283+G3284+G3285+G3286+G3287+G3288+G3289+G3290+G3291</f>
        <v>24521.960108000003</v>
      </c>
      <c r="H3279" s="2"/>
      <c r="I3279" s="7">
        <f>I3280+I3282+I3283+I3284+I3285+I3286+I3287+I3288+I3289+I3290+I3291</f>
        <v>24471.237916000002</v>
      </c>
      <c r="J3279" s="2"/>
      <c r="K3279" s="7">
        <f>K3280+K3282+K3283+K3284+K3285+K3286+K3287+K3288+K3289+K3290+K3291</f>
        <v>28802.1081868</v>
      </c>
      <c r="L3279" s="2"/>
      <c r="M3279" s="7">
        <f>M3280+M3282+M3283+M3284+M3285+M3286+M3287+M3288+M3289+M3290+M3291</f>
        <v>21084.80348</v>
      </c>
    </row>
    <row r="3280" spans="1:13" ht="12.75">
      <c r="A3280" s="47" t="s">
        <v>14</v>
      </c>
      <c r="B3280" s="46"/>
      <c r="C3280" s="71"/>
      <c r="D3280" s="7"/>
      <c r="E3280" s="7">
        <f t="shared" si="57"/>
        <v>88485</v>
      </c>
      <c r="F3280" s="7"/>
      <c r="G3280" s="7">
        <v>22900</v>
      </c>
      <c r="H3280" s="2"/>
      <c r="I3280" s="7">
        <v>22154</v>
      </c>
      <c r="J3280" s="2"/>
      <c r="K3280" s="7">
        <v>23253</v>
      </c>
      <c r="L3280" s="2"/>
      <c r="M3280" s="7">
        <v>20178</v>
      </c>
    </row>
    <row r="3281" spans="1:13" ht="12.75">
      <c r="A3281" s="41" t="s">
        <v>19</v>
      </c>
      <c r="B3281" s="46"/>
      <c r="C3281" s="71"/>
      <c r="D3281" s="7"/>
      <c r="E3281" s="7">
        <f t="shared" si="57"/>
        <v>57902</v>
      </c>
      <c r="F3281" s="7"/>
      <c r="G3281" s="7">
        <v>14483</v>
      </c>
      <c r="H3281" s="2"/>
      <c r="I3281" s="7">
        <v>14483</v>
      </c>
      <c r="J3281" s="2"/>
      <c r="K3281" s="7">
        <v>14468</v>
      </c>
      <c r="L3281" s="2"/>
      <c r="M3281" s="7">
        <v>14468</v>
      </c>
    </row>
    <row r="3282" spans="1:13" ht="12.75">
      <c r="A3282" s="41" t="s">
        <v>18</v>
      </c>
      <c r="B3282" s="46"/>
      <c r="C3282" s="7"/>
      <c r="D3282" s="7"/>
      <c r="E3282" s="7">
        <f t="shared" si="57"/>
        <v>938.4100000000001</v>
      </c>
      <c r="F3282" s="7"/>
      <c r="G3282" s="7">
        <v>147.15</v>
      </c>
      <c r="H3282" s="2"/>
      <c r="I3282" s="7">
        <v>207.07</v>
      </c>
      <c r="J3282" s="2"/>
      <c r="K3282" s="7">
        <v>280.46</v>
      </c>
      <c r="L3282" s="2"/>
      <c r="M3282" s="7">
        <v>303.73</v>
      </c>
    </row>
    <row r="3283" spans="1:13" ht="12.75">
      <c r="A3283" s="41" t="s">
        <v>53</v>
      </c>
      <c r="B3283" s="46"/>
      <c r="C3283" s="7"/>
      <c r="D3283" s="7"/>
      <c r="E3283" s="7">
        <f t="shared" si="57"/>
        <v>4856.159230800001</v>
      </c>
      <c r="F3283" s="7"/>
      <c r="G3283" s="7">
        <f>0.54857*C3270</f>
        <v>1384.8101080000001</v>
      </c>
      <c r="H3283" s="2"/>
      <c r="I3283" s="7">
        <f>0.53049*C3270</f>
        <v>1339.168956</v>
      </c>
      <c r="J3283" s="2"/>
      <c r="K3283" s="7">
        <f>0.60599*K3270</f>
        <v>1529.1066868000003</v>
      </c>
      <c r="L3283" s="2"/>
      <c r="M3283" s="7">
        <f>0.239*K3270</f>
        <v>603.07348</v>
      </c>
    </row>
    <row r="3284" spans="1:13" ht="12.75">
      <c r="A3284" s="41" t="s">
        <v>148</v>
      </c>
      <c r="B3284" s="46"/>
      <c r="C3284" s="7"/>
      <c r="D3284" s="7"/>
      <c r="E3284" s="7">
        <f t="shared" si="57"/>
        <v>490</v>
      </c>
      <c r="F3284" s="7"/>
      <c r="G3284" s="7">
        <v>90</v>
      </c>
      <c r="H3284" s="2"/>
      <c r="I3284" s="7"/>
      <c r="J3284" s="2"/>
      <c r="K3284" s="7">
        <v>400</v>
      </c>
      <c r="L3284" s="2"/>
      <c r="M3284" s="7"/>
    </row>
    <row r="3285" spans="1:13" ht="12.75">
      <c r="A3285" s="41" t="s">
        <v>27</v>
      </c>
      <c r="B3285" s="46"/>
      <c r="C3285" s="7"/>
      <c r="D3285" s="7"/>
      <c r="E3285" s="7">
        <f t="shared" si="57"/>
        <v>189.07756</v>
      </c>
      <c r="F3285" s="7"/>
      <c r="G3285" s="7"/>
      <c r="H3285" s="2"/>
      <c r="I3285" s="7">
        <f>0.0749*C3270</f>
        <v>189.07756</v>
      </c>
      <c r="J3285" s="2"/>
      <c r="K3285" s="7"/>
      <c r="L3285" s="2"/>
      <c r="M3285" s="7"/>
    </row>
    <row r="3286" spans="1:13" ht="12.75">
      <c r="A3286" s="41" t="s">
        <v>36</v>
      </c>
      <c r="B3286" s="46"/>
      <c r="C3286" s="7"/>
      <c r="D3286" s="7"/>
      <c r="E3286" s="7">
        <f t="shared" si="57"/>
        <v>3717</v>
      </c>
      <c r="F3286" s="7"/>
      <c r="G3286" s="7"/>
      <c r="H3286" s="2" t="s">
        <v>280</v>
      </c>
      <c r="I3286" s="7">
        <v>409</v>
      </c>
      <c r="J3286" s="2" t="s">
        <v>370</v>
      </c>
      <c r="K3286" s="7">
        <v>3308</v>
      </c>
      <c r="L3286" s="2"/>
      <c r="M3286" s="7"/>
    </row>
    <row r="3287" spans="1:13" ht="12.75">
      <c r="A3287" s="41" t="s">
        <v>58</v>
      </c>
      <c r="B3287" s="46"/>
      <c r="C3287" s="7"/>
      <c r="D3287" s="7"/>
      <c r="E3287" s="7">
        <f t="shared" si="57"/>
        <v>0</v>
      </c>
      <c r="F3287" s="7"/>
      <c r="G3287" s="7"/>
      <c r="H3287" s="2"/>
      <c r="I3287" s="7"/>
      <c r="J3287" s="2"/>
      <c r="K3287" s="7"/>
      <c r="L3287" s="2"/>
      <c r="M3287" s="7"/>
    </row>
    <row r="3288" spans="1:13" ht="12.75">
      <c r="A3288" s="41" t="s">
        <v>43</v>
      </c>
      <c r="B3288" s="46"/>
      <c r="C3288" s="7"/>
      <c r="D3288" s="7"/>
      <c r="E3288" s="7">
        <f t="shared" si="57"/>
        <v>0</v>
      </c>
      <c r="F3288" s="7"/>
      <c r="G3288" s="7"/>
      <c r="H3288" s="2"/>
      <c r="I3288" s="7"/>
      <c r="J3288" s="2"/>
      <c r="K3288" s="7"/>
      <c r="L3288" s="2"/>
      <c r="M3288" s="7"/>
    </row>
    <row r="3289" spans="1:13" ht="12.75">
      <c r="A3289" s="41" t="s">
        <v>30</v>
      </c>
      <c r="B3289" s="46"/>
      <c r="C3289" s="7"/>
      <c r="D3289" s="7"/>
      <c r="E3289" s="7">
        <f t="shared" si="57"/>
        <v>0</v>
      </c>
      <c r="F3289" s="7"/>
      <c r="G3289" s="7"/>
      <c r="H3289" s="2"/>
      <c r="I3289" s="7"/>
      <c r="J3289" s="2"/>
      <c r="K3289" s="7"/>
      <c r="L3289" s="2"/>
      <c r="M3289" s="7"/>
    </row>
    <row r="3290" spans="1:13" ht="12.75">
      <c r="A3290" s="41" t="s">
        <v>54</v>
      </c>
      <c r="B3290" s="46"/>
      <c r="C3290" s="7"/>
      <c r="D3290" s="7"/>
      <c r="E3290" s="7">
        <f t="shared" si="57"/>
        <v>0</v>
      </c>
      <c r="F3290" s="7"/>
      <c r="G3290" s="7"/>
      <c r="H3290" s="2"/>
      <c r="I3290" s="7"/>
      <c r="J3290" s="2"/>
      <c r="K3290" s="7"/>
      <c r="L3290" s="2"/>
      <c r="M3290" s="7"/>
    </row>
    <row r="3291" spans="1:13" ht="13.5" thickBot="1">
      <c r="A3291" s="48" t="s">
        <v>55</v>
      </c>
      <c r="B3291" s="49"/>
      <c r="C3291" s="50"/>
      <c r="D3291" s="50"/>
      <c r="E3291" s="50">
        <f t="shared" si="57"/>
        <v>204.46290000000002</v>
      </c>
      <c r="F3291" s="50"/>
      <c r="G3291" s="50"/>
      <c r="H3291" s="22"/>
      <c r="I3291" s="50">
        <f>0.0685*C3270</f>
        <v>172.9214</v>
      </c>
      <c r="J3291" s="22"/>
      <c r="K3291" s="50">
        <f>0.0125*K3270</f>
        <v>31.541500000000003</v>
      </c>
      <c r="L3291" s="22"/>
      <c r="M3291" s="50"/>
    </row>
    <row r="3292" spans="1:13" ht="13.5" thickBot="1">
      <c r="A3292" s="51" t="s">
        <v>76</v>
      </c>
      <c r="B3292" s="81"/>
      <c r="C3292" s="63"/>
      <c r="D3292" s="63"/>
      <c r="E3292" s="63">
        <f t="shared" si="57"/>
        <v>181210.03725400002</v>
      </c>
      <c r="F3292" s="63"/>
      <c r="G3292" s="63">
        <f>G3277+G3279</f>
        <v>44702.190416000005</v>
      </c>
      <c r="H3292" s="26"/>
      <c r="I3292" s="63">
        <f>I3277+I3279</f>
        <v>48647.593424000006</v>
      </c>
      <c r="J3292" s="26"/>
      <c r="K3292" s="63">
        <f>K3277+K3279</f>
        <v>47293.7289096</v>
      </c>
      <c r="L3292" s="26"/>
      <c r="M3292" s="29">
        <f>M3277+M3279</f>
        <v>40566.524504400004</v>
      </c>
    </row>
    <row r="3293" spans="1:13" ht="13.5" customHeight="1">
      <c r="A3293" s="54" t="s">
        <v>15</v>
      </c>
      <c r="B3293" s="55"/>
      <c r="C3293" s="66"/>
      <c r="D3293" s="66"/>
      <c r="E3293" s="56">
        <f t="shared" si="57"/>
        <v>0</v>
      </c>
      <c r="F3293" s="66"/>
      <c r="G3293" s="56"/>
      <c r="H3293" s="74"/>
      <c r="I3293" s="56"/>
      <c r="J3293" s="74"/>
      <c r="K3293" s="56"/>
      <c r="L3293" s="74"/>
      <c r="M3293" s="56"/>
    </row>
    <row r="3294" spans="1:13" ht="12.75">
      <c r="A3294" s="41" t="s">
        <v>17</v>
      </c>
      <c r="B3294" s="46"/>
      <c r="C3294" s="7"/>
      <c r="D3294" s="7"/>
      <c r="E3294" s="7">
        <f t="shared" si="57"/>
        <v>71352.92231560001</v>
      </c>
      <c r="F3294" s="7"/>
      <c r="G3294" s="7">
        <f>6.73321*C3270</f>
        <v>16997.315324</v>
      </c>
      <c r="H3294" s="2"/>
      <c r="I3294" s="7">
        <f>7.02207*C3270</f>
        <v>17726.513508</v>
      </c>
      <c r="J3294" s="2"/>
      <c r="K3294" s="7">
        <f>7.2754*K3270</f>
        <v>18358.162328000002</v>
      </c>
      <c r="L3294" s="2"/>
      <c r="M3294" s="7">
        <f>7.24083*K3270</f>
        <v>18270.9311556</v>
      </c>
    </row>
    <row r="3295" spans="1:13" ht="12.75">
      <c r="A3295" s="41" t="s">
        <v>368</v>
      </c>
      <c r="B3295" s="46"/>
      <c r="C3295" s="71"/>
      <c r="D3295" s="7"/>
      <c r="E3295" s="7">
        <f t="shared" si="57"/>
        <v>6719</v>
      </c>
      <c r="F3295" s="7"/>
      <c r="G3295" s="7"/>
      <c r="H3295" s="2"/>
      <c r="I3295" s="7"/>
      <c r="J3295" s="2" t="s">
        <v>336</v>
      </c>
      <c r="K3295" s="7">
        <v>6719</v>
      </c>
      <c r="L3295" s="2"/>
      <c r="M3295" s="7"/>
    </row>
    <row r="3296" spans="1:13" ht="12.75">
      <c r="A3296" s="41" t="s">
        <v>67</v>
      </c>
      <c r="B3296" s="46"/>
      <c r="C3296" s="7"/>
      <c r="D3296" s="7"/>
      <c r="E3296" s="7">
        <f t="shared" si="57"/>
        <v>13485</v>
      </c>
      <c r="F3296" s="7"/>
      <c r="G3296" s="7">
        <v>6532</v>
      </c>
      <c r="H3296" s="2"/>
      <c r="I3296" s="7">
        <v>4730</v>
      </c>
      <c r="J3296" s="2"/>
      <c r="K3296" s="7"/>
      <c r="L3296" s="2"/>
      <c r="M3296" s="7">
        <v>2223</v>
      </c>
    </row>
    <row r="3297" spans="1:13" ht="12.75">
      <c r="A3297" s="41" t="s">
        <v>68</v>
      </c>
      <c r="B3297" s="46"/>
      <c r="C3297" s="7"/>
      <c r="D3297" s="7"/>
      <c r="E3297" s="7">
        <f t="shared" si="57"/>
        <v>116</v>
      </c>
      <c r="F3297" s="7"/>
      <c r="G3297" s="7"/>
      <c r="H3297" s="2"/>
      <c r="I3297" s="7"/>
      <c r="J3297" s="2"/>
      <c r="K3297" s="7">
        <v>116</v>
      </c>
      <c r="L3297" s="2"/>
      <c r="M3297" s="7"/>
    </row>
    <row r="3298" spans="1:13" ht="12.75">
      <c r="A3298" s="41" t="s">
        <v>69</v>
      </c>
      <c r="B3298" s="46"/>
      <c r="C3298" s="7"/>
      <c r="D3298" s="7"/>
      <c r="E3298" s="7">
        <f t="shared" si="57"/>
        <v>772</v>
      </c>
      <c r="F3298" s="7"/>
      <c r="G3298" s="7"/>
      <c r="H3298" s="2"/>
      <c r="I3298" s="7"/>
      <c r="J3298" s="2"/>
      <c r="K3298" s="7"/>
      <c r="L3298" s="2"/>
      <c r="M3298" s="7">
        <v>772</v>
      </c>
    </row>
    <row r="3299" spans="1:13" ht="12.75">
      <c r="A3299" s="41" t="s">
        <v>26</v>
      </c>
      <c r="B3299" s="46"/>
      <c r="C3299" s="7"/>
      <c r="D3299" s="7"/>
      <c r="E3299" s="7">
        <f t="shared" si="57"/>
        <v>4445.5</v>
      </c>
      <c r="F3299" s="7"/>
      <c r="G3299" s="7"/>
      <c r="H3299" s="2"/>
      <c r="I3299" s="7">
        <v>1410</v>
      </c>
      <c r="J3299" s="2"/>
      <c r="K3299" s="7">
        <v>585.5</v>
      </c>
      <c r="L3299" s="2"/>
      <c r="M3299" s="7">
        <v>2450</v>
      </c>
    </row>
    <row r="3300" spans="1:13" ht="12.75">
      <c r="A3300" s="41" t="s">
        <v>28</v>
      </c>
      <c r="B3300" s="46"/>
      <c r="C3300" s="7"/>
      <c r="D3300" s="7"/>
      <c r="E3300" s="7">
        <f t="shared" si="57"/>
        <v>2215</v>
      </c>
      <c r="F3300" s="7"/>
      <c r="G3300" s="7"/>
      <c r="H3300" s="2"/>
      <c r="I3300" s="7"/>
      <c r="J3300" s="2"/>
      <c r="K3300" s="7"/>
      <c r="L3300" s="2"/>
      <c r="M3300" s="7">
        <v>2215</v>
      </c>
    </row>
    <row r="3301" spans="1:13" ht="12.75">
      <c r="A3301" s="41" t="s">
        <v>291</v>
      </c>
      <c r="B3301" s="46"/>
      <c r="C3301" s="7"/>
      <c r="D3301" s="7"/>
      <c r="E3301" s="7"/>
      <c r="F3301" s="7"/>
      <c r="G3301" s="7"/>
      <c r="H3301" s="2"/>
      <c r="I3301" s="7"/>
      <c r="J3301" s="2"/>
      <c r="K3301" s="7">
        <v>1787.5</v>
      </c>
      <c r="L3301" s="2"/>
      <c r="M3301" s="7"/>
    </row>
    <row r="3302" spans="1:13" ht="12.75">
      <c r="A3302" s="41" t="s">
        <v>60</v>
      </c>
      <c r="B3302" s="46"/>
      <c r="C3302" s="7"/>
      <c r="D3302" s="7"/>
      <c r="E3302" s="7">
        <f t="shared" si="57"/>
        <v>0</v>
      </c>
      <c r="F3302" s="7"/>
      <c r="G3302" s="7"/>
      <c r="H3302" s="2"/>
      <c r="I3302" s="7"/>
      <c r="J3302" s="2"/>
      <c r="K3302" s="7"/>
      <c r="L3302" s="2"/>
      <c r="M3302" s="7"/>
    </row>
    <row r="3303" spans="1:13" ht="12.75">
      <c r="A3303" s="41" t="s">
        <v>369</v>
      </c>
      <c r="B3303" s="46"/>
      <c r="C3303" s="7"/>
      <c r="D3303" s="7"/>
      <c r="E3303" s="7">
        <f t="shared" si="57"/>
        <v>21058</v>
      </c>
      <c r="F3303" s="7"/>
      <c r="G3303" s="7"/>
      <c r="H3303" s="2"/>
      <c r="I3303" s="7">
        <v>8900</v>
      </c>
      <c r="J3303" s="2"/>
      <c r="K3303" s="7">
        <v>12158</v>
      </c>
      <c r="L3303" s="2"/>
      <c r="M3303" s="7"/>
    </row>
    <row r="3304" spans="1:13" ht="12.75">
      <c r="A3304" s="41" t="s">
        <v>62</v>
      </c>
      <c r="B3304" s="46"/>
      <c r="C3304" s="7"/>
      <c r="D3304" s="7"/>
      <c r="E3304" s="7">
        <f t="shared" si="57"/>
        <v>0</v>
      </c>
      <c r="F3304" s="7"/>
      <c r="G3304" s="7"/>
      <c r="H3304" s="2"/>
      <c r="I3304" s="7"/>
      <c r="J3304" s="2"/>
      <c r="K3304" s="7"/>
      <c r="L3304" s="2"/>
      <c r="M3304" s="7"/>
    </row>
    <row r="3305" spans="1:13" ht="12.75">
      <c r="A3305" s="41" t="s">
        <v>250</v>
      </c>
      <c r="B3305" s="46"/>
      <c r="C3305" s="7"/>
      <c r="D3305" s="7"/>
      <c r="E3305" s="7">
        <f t="shared" si="57"/>
        <v>1803</v>
      </c>
      <c r="F3305" s="7"/>
      <c r="G3305" s="7"/>
      <c r="H3305" s="2"/>
      <c r="I3305" s="7"/>
      <c r="J3305" s="2"/>
      <c r="K3305" s="7">
        <v>1803</v>
      </c>
      <c r="L3305" s="2"/>
      <c r="M3305" s="7"/>
    </row>
    <row r="3306" spans="1:13" ht="12.75">
      <c r="A3306" s="41" t="s">
        <v>66</v>
      </c>
      <c r="B3306" s="46"/>
      <c r="C3306" s="7"/>
      <c r="D3306" s="7"/>
      <c r="E3306" s="7">
        <f t="shared" si="57"/>
        <v>0</v>
      </c>
      <c r="F3306" s="7"/>
      <c r="G3306" s="7"/>
      <c r="H3306" s="2"/>
      <c r="I3306" s="7"/>
      <c r="J3306" s="2"/>
      <c r="K3306" s="7"/>
      <c r="L3306" s="2"/>
      <c r="M3306" s="7"/>
    </row>
    <row r="3307" spans="1:13" ht="12.75">
      <c r="A3307" s="41" t="s">
        <v>51</v>
      </c>
      <c r="B3307" s="46"/>
      <c r="C3307" s="7"/>
      <c r="D3307" s="7"/>
      <c r="E3307" s="7">
        <f t="shared" si="57"/>
        <v>2392</v>
      </c>
      <c r="F3307" s="7"/>
      <c r="G3307" s="7"/>
      <c r="H3307" s="2"/>
      <c r="I3307" s="7">
        <v>2392</v>
      </c>
      <c r="J3307" s="2"/>
      <c r="K3307" s="7"/>
      <c r="L3307" s="2"/>
      <c r="M3307" s="7"/>
    </row>
    <row r="3308" spans="1:13" ht="12.75">
      <c r="A3308" s="58" t="s">
        <v>52</v>
      </c>
      <c r="B3308" s="46"/>
      <c r="C3308" s="7"/>
      <c r="D3308" s="7"/>
      <c r="E3308" s="7">
        <f t="shared" si="57"/>
        <v>0</v>
      </c>
      <c r="F3308" s="7"/>
      <c r="G3308" s="7"/>
      <c r="H3308" s="2"/>
      <c r="I3308" s="7"/>
      <c r="J3308" s="2"/>
      <c r="K3308" s="7"/>
      <c r="L3308" s="2"/>
      <c r="M3308" s="7"/>
    </row>
    <row r="3309" spans="1:13" ht="12.75">
      <c r="A3309" s="41" t="s">
        <v>80</v>
      </c>
      <c r="B3309" s="46"/>
      <c r="C3309" s="7"/>
      <c r="D3309" s="7"/>
      <c r="E3309" s="7">
        <f t="shared" si="57"/>
        <v>0</v>
      </c>
      <c r="F3309" s="7"/>
      <c r="G3309" s="7"/>
      <c r="H3309" s="2"/>
      <c r="I3309" s="7"/>
      <c r="J3309" s="2"/>
      <c r="K3309" s="7"/>
      <c r="L3309" s="2"/>
      <c r="M3309" s="7"/>
    </row>
    <row r="3310" spans="1:13" ht="12.75">
      <c r="A3310" s="41" t="s">
        <v>65</v>
      </c>
      <c r="B3310" s="46"/>
      <c r="C3310" s="7"/>
      <c r="D3310" s="7"/>
      <c r="E3310" s="7">
        <f t="shared" si="57"/>
        <v>0</v>
      </c>
      <c r="F3310" s="7"/>
      <c r="G3310" s="7"/>
      <c r="H3310" s="2"/>
      <c r="I3310" s="7"/>
      <c r="J3310" s="2"/>
      <c r="K3310" s="7"/>
      <c r="L3310" s="2"/>
      <c r="M3310" s="7"/>
    </row>
    <row r="3311" spans="1:13" ht="12.75">
      <c r="A3311" s="41" t="s">
        <v>57</v>
      </c>
      <c r="B3311" s="46"/>
      <c r="C3311" s="7"/>
      <c r="D3311" s="7"/>
      <c r="E3311" s="7">
        <f t="shared" si="57"/>
        <v>3217.92324</v>
      </c>
      <c r="F3311" s="7" t="s">
        <v>173</v>
      </c>
      <c r="G3311" s="7">
        <v>3200</v>
      </c>
      <c r="H3311" s="2"/>
      <c r="I3311" s="7">
        <f>0.0071*C3270</f>
        <v>17.923240000000003</v>
      </c>
      <c r="J3311" s="2"/>
      <c r="K3311" s="7"/>
      <c r="L3311" s="2"/>
      <c r="M3311" s="7"/>
    </row>
    <row r="3312" spans="1:13" ht="12.75">
      <c r="A3312" s="41" t="s">
        <v>33</v>
      </c>
      <c r="B3312" s="46"/>
      <c r="C3312" s="7"/>
      <c r="D3312" s="7"/>
      <c r="E3312" s="7">
        <f t="shared" si="57"/>
        <v>1237</v>
      </c>
      <c r="F3312" s="15"/>
      <c r="G3312" s="7"/>
      <c r="H3312" s="2"/>
      <c r="I3312" s="7"/>
      <c r="J3312" s="2"/>
      <c r="K3312" s="7"/>
      <c r="L3312" s="2"/>
      <c r="M3312" s="7">
        <v>1237</v>
      </c>
    </row>
    <row r="3313" spans="1:13" ht="12.75">
      <c r="A3313" s="41" t="s">
        <v>50</v>
      </c>
      <c r="B3313" s="46"/>
      <c r="C3313" s="7"/>
      <c r="D3313" s="7"/>
      <c r="E3313" s="7">
        <f t="shared" si="57"/>
        <v>2767.459804</v>
      </c>
      <c r="F3313" s="7"/>
      <c r="G3313" s="7">
        <f>0.2455*C3270</f>
        <v>619.7402</v>
      </c>
      <c r="H3313" s="2"/>
      <c r="I3313" s="7">
        <f>0.5802*C3270</f>
        <v>1464.6568800000002</v>
      </c>
      <c r="J3313" s="2"/>
      <c r="K3313" s="7">
        <f>0.1437*K3270</f>
        <v>362.601084</v>
      </c>
      <c r="L3313" s="2"/>
      <c r="M3313" s="7">
        <f>0.127*K3270</f>
        <v>320.46164000000005</v>
      </c>
    </row>
    <row r="3314" spans="1:13" ht="13.5" thickBot="1">
      <c r="A3314" s="48" t="s">
        <v>54</v>
      </c>
      <c r="B3314" s="49"/>
      <c r="C3314" s="50"/>
      <c r="D3314" s="50"/>
      <c r="E3314" s="50">
        <f t="shared" si="57"/>
        <v>77.72668</v>
      </c>
      <c r="F3314" s="50"/>
      <c r="G3314" s="50"/>
      <c r="H3314" s="22"/>
      <c r="I3314" s="50">
        <f>0.0078*C3270</f>
        <v>19.69032</v>
      </c>
      <c r="J3314" s="22"/>
      <c r="K3314" s="50">
        <f>0.011*K3270</f>
        <v>27.756520000000002</v>
      </c>
      <c r="L3314" s="22"/>
      <c r="M3314" s="50">
        <f>0.012*K3270</f>
        <v>30.279840000000004</v>
      </c>
    </row>
    <row r="3315" spans="1:13" ht="13.5" thickBot="1">
      <c r="A3315" s="59" t="s">
        <v>10</v>
      </c>
      <c r="B3315" s="81"/>
      <c r="C3315" s="63"/>
      <c r="D3315" s="63"/>
      <c r="E3315" s="63">
        <f t="shared" si="57"/>
        <v>133446.03203960002</v>
      </c>
      <c r="F3315" s="63"/>
      <c r="G3315" s="63">
        <f>SUM(G3294:G3314)</f>
        <v>27349.055524</v>
      </c>
      <c r="H3315" s="26"/>
      <c r="I3315" s="63">
        <f>SUM(I3294:I3314)</f>
        <v>36660.783948000004</v>
      </c>
      <c r="J3315" s="26"/>
      <c r="K3315" s="63">
        <f>SUM(K3294:K3314)</f>
        <v>41917.51993200001</v>
      </c>
      <c r="L3315" s="26"/>
      <c r="M3315" s="29">
        <f>SUM(M3294:M3314)</f>
        <v>27518.6726356</v>
      </c>
    </row>
    <row r="3316" spans="1:13" ht="12.75">
      <c r="A3316" s="60" t="s">
        <v>42</v>
      </c>
      <c r="B3316" s="55"/>
      <c r="C3316" s="66"/>
      <c r="D3316" s="66"/>
      <c r="E3316" s="56">
        <f t="shared" si="57"/>
        <v>0</v>
      </c>
      <c r="F3316" s="66"/>
      <c r="G3316" s="56"/>
      <c r="H3316" s="74"/>
      <c r="I3316" s="56"/>
      <c r="J3316" s="74"/>
      <c r="K3316" s="56"/>
      <c r="L3316" s="74"/>
      <c r="M3316" s="56"/>
    </row>
    <row r="3317" spans="1:13" ht="12.75">
      <c r="A3317" s="138" t="s">
        <v>437</v>
      </c>
      <c r="B3317" s="55"/>
      <c r="C3317" s="66"/>
      <c r="D3317" s="66"/>
      <c r="E3317" s="56">
        <f t="shared" si="57"/>
        <v>267.2</v>
      </c>
      <c r="F3317" s="66"/>
      <c r="G3317" s="56"/>
      <c r="H3317" s="74"/>
      <c r="I3317" s="56"/>
      <c r="J3317" s="74"/>
      <c r="K3317" s="56"/>
      <c r="L3317" s="74"/>
      <c r="M3317" s="56">
        <v>267.2</v>
      </c>
    </row>
    <row r="3318" spans="1:13" ht="12.75">
      <c r="A3318" s="41" t="s">
        <v>56</v>
      </c>
      <c r="B3318" s="46"/>
      <c r="C3318" s="7"/>
      <c r="D3318" s="7"/>
      <c r="E3318" s="56">
        <f t="shared" si="57"/>
        <v>0</v>
      </c>
      <c r="F3318" s="7"/>
      <c r="G3318" s="7"/>
      <c r="H3318" s="2"/>
      <c r="I3318" s="7"/>
      <c r="J3318" s="2"/>
      <c r="K3318" s="7"/>
      <c r="L3318" s="2"/>
      <c r="M3318" s="7"/>
    </row>
    <row r="3319" spans="1:13" ht="12.75">
      <c r="A3319" s="48" t="s">
        <v>371</v>
      </c>
      <c r="B3319" s="49"/>
      <c r="C3319" s="50"/>
      <c r="D3319" s="50"/>
      <c r="E3319" s="56">
        <f t="shared" si="57"/>
        <v>310</v>
      </c>
      <c r="F3319" s="50"/>
      <c r="G3319" s="50"/>
      <c r="H3319" s="22"/>
      <c r="I3319" s="50"/>
      <c r="J3319" s="22"/>
      <c r="K3319" s="50">
        <v>310</v>
      </c>
      <c r="L3319" s="22"/>
      <c r="M3319" s="50"/>
    </row>
    <row r="3320" spans="1:13" ht="12.75">
      <c r="A3320" s="48" t="s">
        <v>339</v>
      </c>
      <c r="B3320" s="49"/>
      <c r="C3320" s="50"/>
      <c r="D3320" s="50"/>
      <c r="E3320" s="56">
        <f t="shared" si="57"/>
        <v>600</v>
      </c>
      <c r="F3320" s="50"/>
      <c r="G3320" s="50"/>
      <c r="H3320" s="22"/>
      <c r="I3320" s="50"/>
      <c r="J3320" s="22"/>
      <c r="K3320" s="50">
        <v>600</v>
      </c>
      <c r="L3320" s="22"/>
      <c r="M3320" s="50"/>
    </row>
    <row r="3321" spans="1:13" ht="13.5" thickBot="1">
      <c r="A3321" s="48" t="s">
        <v>16</v>
      </c>
      <c r="B3321" s="49"/>
      <c r="C3321" s="50"/>
      <c r="D3321" s="50"/>
      <c r="E3321" s="56">
        <f t="shared" si="57"/>
        <v>90.09213600000001</v>
      </c>
      <c r="F3321" s="50"/>
      <c r="G3321" s="50">
        <f>0.0089*C3270</f>
        <v>22.46716</v>
      </c>
      <c r="H3321" s="22"/>
      <c r="I3321" s="50"/>
      <c r="J3321" s="22"/>
      <c r="K3321" s="50"/>
      <c r="L3321" s="22"/>
      <c r="M3321" s="50">
        <f>0.0268*K3270</f>
        <v>67.624976</v>
      </c>
    </row>
    <row r="3322" spans="1:13" ht="13.5" thickBot="1">
      <c r="A3322" s="62" t="s">
        <v>10</v>
      </c>
      <c r="B3322" s="81"/>
      <c r="C3322" s="63"/>
      <c r="D3322" s="63"/>
      <c r="E3322" s="63">
        <f t="shared" si="57"/>
        <v>1267.292136</v>
      </c>
      <c r="F3322" s="63"/>
      <c r="G3322" s="63">
        <f>SUM(G3318:G3321)</f>
        <v>22.46716</v>
      </c>
      <c r="H3322" s="26"/>
      <c r="I3322" s="63"/>
      <c r="J3322" s="26"/>
      <c r="K3322" s="63">
        <f>SUM(K3318:K3321)</f>
        <v>910</v>
      </c>
      <c r="L3322" s="26"/>
      <c r="M3322" s="29">
        <f>SUM(M3317:M3321)</f>
        <v>334.824976</v>
      </c>
    </row>
    <row r="3323" spans="1:13" ht="13.5" thickBot="1">
      <c r="A3323" s="64" t="s">
        <v>29</v>
      </c>
      <c r="B3323" s="81"/>
      <c r="C3323" s="63"/>
      <c r="D3323" s="63"/>
      <c r="E3323" s="63">
        <f t="shared" si="57"/>
        <v>5786.31812</v>
      </c>
      <c r="F3323" s="63"/>
      <c r="G3323" s="63">
        <f>0.4236*C3270</f>
        <v>1069.33584</v>
      </c>
      <c r="H3323" s="26"/>
      <c r="I3323" s="63">
        <f>0.5971*C3270</f>
        <v>1507.31924</v>
      </c>
      <c r="J3323" s="26"/>
      <c r="K3323" s="63"/>
      <c r="L3323" s="26"/>
      <c r="M3323" s="29">
        <f>1.272*K3270</f>
        <v>3209.6630400000004</v>
      </c>
    </row>
    <row r="3324" spans="1:13" ht="21.75">
      <c r="A3324" s="65" t="s">
        <v>83</v>
      </c>
      <c r="B3324" s="61"/>
      <c r="C3324" s="56"/>
      <c r="D3324" s="56"/>
      <c r="E3324" s="56">
        <f t="shared" si="57"/>
        <v>321709.67954960006</v>
      </c>
      <c r="F3324" s="56"/>
      <c r="G3324" s="56">
        <f>G3292+G3315+G3322+G3323</f>
        <v>73143.04894000001</v>
      </c>
      <c r="H3324" s="74"/>
      <c r="I3324" s="56">
        <f>I3292+I3315+I3322+I3323</f>
        <v>86815.69661200001</v>
      </c>
      <c r="J3324" s="74"/>
      <c r="K3324" s="56">
        <f>K3292+K3315+K3322+K3323</f>
        <v>90121.24884160001</v>
      </c>
      <c r="L3324" s="74"/>
      <c r="M3324" s="56">
        <f>M3292+M3315+M3322+M3323</f>
        <v>71629.685156</v>
      </c>
    </row>
    <row r="3325" spans="1:13" ht="33.75">
      <c r="A3325" s="67" t="s">
        <v>84</v>
      </c>
      <c r="B3325" s="46"/>
      <c r="C3325" s="7"/>
      <c r="D3325" s="7"/>
      <c r="E3325" s="8">
        <f>E3324/6/C3270</f>
        <v>21.240009477473198</v>
      </c>
      <c r="F3325" s="7"/>
      <c r="G3325" s="8">
        <f>G3324/3/C3270</f>
        <v>9.658143049173402</v>
      </c>
      <c r="H3325" s="2"/>
      <c r="I3325" s="8">
        <f>I3324/3/C3270</f>
        <v>11.46354204457825</v>
      </c>
      <c r="J3325" s="2"/>
      <c r="K3325" s="8">
        <f>K3324/3/K3270</f>
        <v>11.90511559395294</v>
      </c>
      <c r="L3325" s="2"/>
      <c r="M3325" s="8">
        <f>M3324/3/K3270</f>
        <v>9.462359795296145</v>
      </c>
    </row>
    <row r="3326" spans="1:13" ht="12.75">
      <c r="A3326" s="69" t="s">
        <v>20</v>
      </c>
      <c r="B3326" s="44"/>
      <c r="C3326" s="45"/>
      <c r="D3326" s="45"/>
      <c r="E3326" s="45">
        <f>E3275-E3324</f>
        <v>-49158.979549600044</v>
      </c>
      <c r="F3326" s="45"/>
      <c r="G3326" s="7">
        <f>G3275-G3324</f>
        <v>-15362.038940000006</v>
      </c>
      <c r="H3326" s="2"/>
      <c r="I3326" s="7">
        <f>I3275-I3324-15362</f>
        <v>-29697.79661200002</v>
      </c>
      <c r="J3326" s="2"/>
      <c r="K3326" s="7">
        <f>K3275-K3324-29698</f>
        <v>-42035.688841600015</v>
      </c>
      <c r="L3326" s="2"/>
      <c r="M3326" s="7">
        <f>M3275-M3324-42036</f>
        <v>-49159.455156</v>
      </c>
    </row>
    <row r="3327" spans="1:13" ht="12.75">
      <c r="A3327" s="14" t="s">
        <v>24</v>
      </c>
      <c r="B3327" s="14"/>
      <c r="C3327" s="14"/>
      <c r="D3327" s="14"/>
      <c r="E3327" s="14"/>
      <c r="F3327" s="14"/>
      <c r="G3327" s="14"/>
      <c r="H3327" s="14"/>
      <c r="I3327" s="14"/>
      <c r="J3327" s="14"/>
      <c r="K3327" s="14"/>
      <c r="L3327" s="14"/>
      <c r="M3327" s="14"/>
    </row>
    <row r="3328" spans="1:13" ht="12.75">
      <c r="A3328" s="14" t="s">
        <v>35</v>
      </c>
      <c r="B3328" s="14"/>
      <c r="C3328" s="14"/>
      <c r="D3328" s="14"/>
      <c r="E3328" s="14"/>
      <c r="F3328" s="14"/>
      <c r="G3328" s="14"/>
      <c r="H3328" s="14"/>
      <c r="I3328" s="14"/>
      <c r="J3328" s="14"/>
      <c r="K3328" s="14"/>
      <c r="L3328" s="14"/>
      <c r="M3328" s="14"/>
    </row>
    <row r="3329" spans="1:13" ht="12.75">
      <c r="A3329" s="14" t="s">
        <v>25</v>
      </c>
      <c r="B3329" s="14"/>
      <c r="C3329" s="14"/>
      <c r="D3329" s="14"/>
      <c r="E3329" s="14"/>
      <c r="F3329" s="14"/>
      <c r="G3329" s="14"/>
      <c r="H3329" s="14"/>
      <c r="I3329" s="14"/>
      <c r="J3329" s="14"/>
      <c r="K3329" s="14"/>
      <c r="L3329" s="14"/>
      <c r="M3329" s="14"/>
    </row>
    <row r="3330" spans="1:13" ht="12.75">
      <c r="A3330" s="14"/>
      <c r="B3330" s="14"/>
      <c r="C3330" s="14"/>
      <c r="D3330" s="14"/>
      <c r="E3330" s="14"/>
      <c r="F3330" s="14"/>
      <c r="G3330" s="14"/>
      <c r="H3330" s="14"/>
      <c r="I3330" s="14"/>
      <c r="J3330" s="14"/>
      <c r="K3330" s="14"/>
      <c r="L3330" s="14"/>
      <c r="M3330" s="14"/>
    </row>
    <row r="3331" spans="1:13" ht="12.75">
      <c r="A3331" s="14"/>
      <c r="B3331" s="14"/>
      <c r="C3331" s="14"/>
      <c r="D3331" s="14"/>
      <c r="E3331" s="14"/>
      <c r="F3331" s="14"/>
      <c r="G3331" s="14"/>
      <c r="H3331" s="14"/>
      <c r="I3331" s="14"/>
      <c r="J3331" s="14"/>
      <c r="K3331" s="14"/>
      <c r="L3331" s="14"/>
      <c r="M3331" s="14"/>
    </row>
    <row r="3332" spans="1:13" ht="12.75">
      <c r="A3332" s="14"/>
      <c r="B3332" s="14"/>
      <c r="C3332" s="14"/>
      <c r="D3332" s="14"/>
      <c r="E3332" s="14"/>
      <c r="F3332" s="14"/>
      <c r="G3332" s="14"/>
      <c r="H3332" s="14"/>
      <c r="I3332" s="14"/>
      <c r="J3332" s="14"/>
      <c r="K3332" s="14"/>
      <c r="L3332" s="14"/>
      <c r="M3332" s="14"/>
    </row>
    <row r="3333" spans="1:13" ht="12.75">
      <c r="A3333" s="14"/>
      <c r="B3333" s="14"/>
      <c r="C3333" s="14"/>
      <c r="D3333" s="14"/>
      <c r="E3333" s="14"/>
      <c r="F3333" s="14"/>
      <c r="G3333" s="14"/>
      <c r="H3333" s="14"/>
      <c r="I3333" s="14"/>
      <c r="J3333" s="14"/>
      <c r="K3333" s="14"/>
      <c r="L3333" s="14"/>
      <c r="M3333" s="14"/>
    </row>
    <row r="3334" spans="1:13" ht="12.75">
      <c r="A3334" s="14"/>
      <c r="B3334" s="14"/>
      <c r="C3334" s="14"/>
      <c r="D3334" s="14"/>
      <c r="E3334" s="14"/>
      <c r="F3334" s="14"/>
      <c r="G3334" s="14"/>
      <c r="H3334" s="14"/>
      <c r="I3334" s="14"/>
      <c r="J3334" s="14"/>
      <c r="K3334" s="14"/>
      <c r="L3334" s="14"/>
      <c r="M3334" s="14"/>
    </row>
    <row r="3335" spans="1:13" ht="12.75">
      <c r="A3335" s="14"/>
      <c r="B3335" s="14"/>
      <c r="C3335" s="14"/>
      <c r="D3335" s="14"/>
      <c r="E3335" s="14"/>
      <c r="F3335" s="14"/>
      <c r="G3335" s="14"/>
      <c r="H3335" s="14"/>
      <c r="I3335" s="14"/>
      <c r="J3335" s="14"/>
      <c r="K3335" s="14"/>
      <c r="L3335" s="14"/>
      <c r="M3335" s="14"/>
    </row>
    <row r="3336" spans="1:13" ht="12.75">
      <c r="A3336" s="14"/>
      <c r="B3336" s="14"/>
      <c r="C3336" s="14"/>
      <c r="D3336" s="14"/>
      <c r="E3336" s="14"/>
      <c r="F3336" s="14"/>
      <c r="G3336" s="14"/>
      <c r="H3336" s="14"/>
      <c r="I3336" s="14"/>
      <c r="J3336" s="14"/>
      <c r="K3336" s="14"/>
      <c r="L3336" s="14"/>
      <c r="M3336" s="14"/>
    </row>
    <row r="3337" spans="1:13" ht="12.75">
      <c r="A3337" s="14"/>
      <c r="B3337" s="14"/>
      <c r="C3337" s="14"/>
      <c r="D3337" s="14"/>
      <c r="E3337" s="14"/>
      <c r="F3337" s="14"/>
      <c r="G3337" s="14"/>
      <c r="H3337" s="14"/>
      <c r="I3337" s="14"/>
      <c r="J3337" s="14"/>
      <c r="K3337" s="14"/>
      <c r="L3337" s="14"/>
      <c r="M3337" s="14"/>
    </row>
    <row r="3338" spans="1:13" ht="12.75">
      <c r="A3338" s="14"/>
      <c r="B3338" s="14"/>
      <c r="C3338" s="14"/>
      <c r="D3338" s="14"/>
      <c r="E3338" s="14"/>
      <c r="F3338" s="14"/>
      <c r="G3338" s="14"/>
      <c r="H3338" s="14"/>
      <c r="I3338" s="14"/>
      <c r="J3338" s="14"/>
      <c r="K3338" s="14"/>
      <c r="L3338" s="14"/>
      <c r="M3338" s="14"/>
    </row>
    <row r="3339" spans="1:13" ht="12.75">
      <c r="A3339" s="14"/>
      <c r="B3339" s="14"/>
      <c r="C3339" s="14"/>
      <c r="D3339" s="14"/>
      <c r="E3339" s="14"/>
      <c r="F3339" s="14"/>
      <c r="G3339" s="14"/>
      <c r="H3339" s="14"/>
      <c r="I3339" s="14"/>
      <c r="J3339" s="14"/>
      <c r="K3339" s="14"/>
      <c r="L3339" s="14"/>
      <c r="M3339" s="14"/>
    </row>
    <row r="3340" spans="1:13" ht="12.75">
      <c r="A3340" s="14"/>
      <c r="B3340" s="14"/>
      <c r="C3340" s="14"/>
      <c r="D3340" s="14"/>
      <c r="E3340" s="14"/>
      <c r="F3340" s="14"/>
      <c r="G3340" s="14"/>
      <c r="H3340" s="14"/>
      <c r="I3340" s="14"/>
      <c r="J3340" s="14"/>
      <c r="K3340" s="14"/>
      <c r="L3340" s="14"/>
      <c r="M3340" s="14"/>
    </row>
    <row r="3341" spans="1:13" ht="12.75">
      <c r="A3341" s="14"/>
      <c r="B3341" s="14"/>
      <c r="C3341" s="14"/>
      <c r="D3341" s="14"/>
      <c r="E3341" s="14"/>
      <c r="F3341" s="14"/>
      <c r="G3341" s="14"/>
      <c r="H3341" s="14"/>
      <c r="I3341" s="14"/>
      <c r="J3341" s="14"/>
      <c r="K3341" s="14"/>
      <c r="L3341" s="14"/>
      <c r="M3341" s="14"/>
    </row>
    <row r="3342" spans="1:13" ht="12.75">
      <c r="A3342" s="14"/>
      <c r="B3342" s="14"/>
      <c r="C3342" s="14"/>
      <c r="D3342" s="14"/>
      <c r="E3342" s="14"/>
      <c r="F3342" s="14"/>
      <c r="G3342" s="14"/>
      <c r="H3342" s="14"/>
      <c r="I3342" s="14"/>
      <c r="J3342" s="14"/>
      <c r="K3342" s="14"/>
      <c r="L3342" s="14"/>
      <c r="M3342" s="14"/>
    </row>
    <row r="3343" spans="1:13" ht="12.75">
      <c r="A3343" s="14"/>
      <c r="B3343" s="14"/>
      <c r="C3343" s="14"/>
      <c r="D3343" s="14"/>
      <c r="E3343" s="14"/>
      <c r="F3343" s="14"/>
      <c r="G3343" s="14"/>
      <c r="H3343" s="14"/>
      <c r="I3343" s="14"/>
      <c r="J3343" s="14"/>
      <c r="K3343" s="14"/>
      <c r="L3343" s="14"/>
      <c r="M3343" s="14"/>
    </row>
    <row r="3344" spans="1:13" ht="12.75">
      <c r="A3344" s="14"/>
      <c r="B3344" s="14"/>
      <c r="C3344" s="14"/>
      <c r="D3344" s="14"/>
      <c r="E3344" s="14"/>
      <c r="F3344" s="14"/>
      <c r="G3344" s="14"/>
      <c r="H3344" s="14"/>
      <c r="I3344" s="14"/>
      <c r="J3344" s="14"/>
      <c r="K3344" s="14"/>
      <c r="L3344" s="14"/>
      <c r="M3344" s="14"/>
    </row>
    <row r="3345" spans="1:13" ht="12.75">
      <c r="A3345" s="14"/>
      <c r="B3345" s="14"/>
      <c r="C3345" s="14"/>
      <c r="D3345" s="14"/>
      <c r="E3345" s="14"/>
      <c r="F3345" s="14"/>
      <c r="G3345" s="14"/>
      <c r="H3345" s="14"/>
      <c r="I3345" s="14"/>
      <c r="J3345" s="14"/>
      <c r="K3345" s="14"/>
      <c r="L3345" s="14"/>
      <c r="M3345" s="14"/>
    </row>
    <row r="3346" spans="1:13" ht="0.75" customHeight="1">
      <c r="A3346" s="14"/>
      <c r="B3346" s="14"/>
      <c r="C3346" s="14"/>
      <c r="D3346" s="14"/>
      <c r="E3346" s="14"/>
      <c r="F3346" s="14"/>
      <c r="G3346" s="14"/>
      <c r="H3346" s="14"/>
      <c r="I3346" s="14"/>
      <c r="J3346" s="14"/>
      <c r="K3346" s="14"/>
      <c r="L3346" s="14"/>
      <c r="M3346" s="14"/>
    </row>
    <row r="3347" spans="1:13" ht="12.75" hidden="1">
      <c r="A3347" s="14"/>
      <c r="B3347" s="14"/>
      <c r="C3347" s="14"/>
      <c r="D3347" s="14"/>
      <c r="E3347" s="14"/>
      <c r="F3347" s="14"/>
      <c r="G3347" s="14"/>
      <c r="H3347" s="14"/>
      <c r="I3347" s="14"/>
      <c r="J3347" s="14"/>
      <c r="K3347" s="14"/>
      <c r="L3347" s="14"/>
      <c r="M3347" s="14"/>
    </row>
    <row r="3348" spans="1:13" ht="12.75" hidden="1">
      <c r="A3348" s="14"/>
      <c r="B3348" s="14"/>
      <c r="C3348" s="14"/>
      <c r="D3348" s="14"/>
      <c r="E3348" s="14"/>
      <c r="F3348" s="14"/>
      <c r="G3348" s="14"/>
      <c r="H3348" s="14"/>
      <c r="I3348" s="14"/>
      <c r="J3348" s="14"/>
      <c r="K3348" s="14"/>
      <c r="L3348" s="14"/>
      <c r="M3348" s="14"/>
    </row>
    <row r="3349" spans="1:13" ht="12.75" hidden="1">
      <c r="A3349" s="14"/>
      <c r="B3349" s="14"/>
      <c r="C3349" s="14"/>
      <c r="D3349" s="14"/>
      <c r="E3349" s="14"/>
      <c r="F3349" s="14"/>
      <c r="G3349" s="14"/>
      <c r="H3349" s="14"/>
      <c r="I3349" s="14"/>
      <c r="J3349" s="14"/>
      <c r="K3349" s="14"/>
      <c r="L3349" s="14"/>
      <c r="M3349" s="14"/>
    </row>
    <row r="3350" spans="1:13" ht="12.75" hidden="1">
      <c r="A3350" s="14"/>
      <c r="B3350" s="14"/>
      <c r="C3350" s="14"/>
      <c r="D3350" s="14"/>
      <c r="E3350" s="14"/>
      <c r="F3350" s="14"/>
      <c r="G3350" s="14"/>
      <c r="H3350" s="14"/>
      <c r="I3350" s="14"/>
      <c r="J3350" s="14"/>
      <c r="K3350" s="14"/>
      <c r="L3350" s="14"/>
      <c r="M3350" s="14"/>
    </row>
    <row r="3351" spans="1:13" ht="12.75" hidden="1">
      <c r="A3351" s="14"/>
      <c r="B3351" s="14"/>
      <c r="C3351" s="14"/>
      <c r="D3351" s="14"/>
      <c r="E3351" s="14"/>
      <c r="F3351" s="14"/>
      <c r="G3351" s="14"/>
      <c r="H3351" s="14"/>
      <c r="I3351" s="14"/>
      <c r="J3351" s="14"/>
      <c r="K3351" s="14"/>
      <c r="L3351" s="14"/>
      <c r="M3351" s="14"/>
    </row>
    <row r="3352" spans="1:13" ht="12.75" hidden="1">
      <c r="A3352" s="14"/>
      <c r="B3352" s="14"/>
      <c r="C3352" s="14"/>
      <c r="D3352" s="14"/>
      <c r="E3352" s="14"/>
      <c r="F3352" s="14"/>
      <c r="G3352" s="14"/>
      <c r="H3352" s="14"/>
      <c r="I3352" s="14"/>
      <c r="J3352" s="14"/>
      <c r="K3352" s="14"/>
      <c r="L3352" s="14"/>
      <c r="M3352" s="14"/>
    </row>
    <row r="3353" spans="1:13" ht="12.75">
      <c r="A3353" s="31" t="s">
        <v>21</v>
      </c>
      <c r="B3353" s="31"/>
      <c r="C3353" s="14"/>
      <c r="D3353" s="14"/>
      <c r="E3353" s="14"/>
      <c r="F3353" s="14"/>
      <c r="G3353" s="14"/>
      <c r="H3353" s="14"/>
      <c r="I3353" s="14"/>
      <c r="J3353" s="14"/>
      <c r="K3353" s="14"/>
      <c r="L3353" s="14"/>
      <c r="M3353" s="14"/>
    </row>
    <row r="3354" spans="1:13" ht="12.75">
      <c r="A3354" s="14" t="s">
        <v>31</v>
      </c>
      <c r="B3354" s="14"/>
      <c r="C3354" s="14"/>
      <c r="D3354" s="14"/>
      <c r="E3354" s="14"/>
      <c r="F3354" s="14"/>
      <c r="G3354" s="14"/>
      <c r="H3354" s="14"/>
      <c r="I3354" s="14"/>
      <c r="J3354" s="14"/>
      <c r="K3354" s="14"/>
      <c r="L3354" s="14"/>
      <c r="M3354" s="14"/>
    </row>
    <row r="3355" spans="1:13" ht="12.75">
      <c r="A3355" s="14" t="s">
        <v>41</v>
      </c>
      <c r="B3355" s="14"/>
      <c r="C3355" s="14"/>
      <c r="D3355" s="14"/>
      <c r="E3355" s="14"/>
      <c r="F3355" s="14"/>
      <c r="G3355" s="14"/>
      <c r="H3355" s="14"/>
      <c r="I3355" s="14"/>
      <c r="J3355" s="14"/>
      <c r="K3355" s="14"/>
      <c r="L3355" s="14"/>
      <c r="M3355" s="14"/>
    </row>
    <row r="3356" spans="1:13" ht="12.75">
      <c r="A3356" s="14" t="s">
        <v>86</v>
      </c>
      <c r="B3356" s="14"/>
      <c r="C3356" s="14"/>
      <c r="D3356" s="14"/>
      <c r="E3356" s="14" t="s">
        <v>32</v>
      </c>
      <c r="F3356" s="14"/>
      <c r="G3356" s="14"/>
      <c r="H3356" s="14"/>
      <c r="I3356" s="14"/>
      <c r="J3356" s="14"/>
      <c r="K3356" s="14"/>
      <c r="L3356" s="14"/>
      <c r="M3356" s="14"/>
    </row>
    <row r="3357" spans="1:13" ht="12.75" customHeight="1">
      <c r="A3357" s="6" t="s">
        <v>0</v>
      </c>
      <c r="B3357" s="151" t="s">
        <v>38</v>
      </c>
      <c r="C3357" s="152"/>
      <c r="D3357" s="149" t="s">
        <v>39</v>
      </c>
      <c r="E3357" s="150"/>
      <c r="F3357" s="149" t="s">
        <v>96</v>
      </c>
      <c r="G3357" s="150"/>
      <c r="H3357" s="149" t="s">
        <v>97</v>
      </c>
      <c r="I3357" s="150"/>
      <c r="J3357" s="149" t="s">
        <v>98</v>
      </c>
      <c r="K3357" s="150"/>
      <c r="L3357" s="149" t="s">
        <v>99</v>
      </c>
      <c r="M3357" s="150"/>
    </row>
    <row r="3358" spans="1:13" ht="12.75">
      <c r="A3358" s="11" t="s">
        <v>5</v>
      </c>
      <c r="B3358" s="153"/>
      <c r="C3358" s="154"/>
      <c r="D3358" s="6" t="s">
        <v>40</v>
      </c>
      <c r="E3358" s="6" t="s">
        <v>22</v>
      </c>
      <c r="F3358" s="6" t="s">
        <v>40</v>
      </c>
      <c r="G3358" s="13" t="s">
        <v>22</v>
      </c>
      <c r="H3358" s="2"/>
      <c r="I3358" s="2"/>
      <c r="J3358" s="2"/>
      <c r="K3358" s="2"/>
      <c r="L3358" s="2"/>
      <c r="M3358" s="2"/>
    </row>
    <row r="3359" spans="1:13" ht="12.75">
      <c r="A3359" s="2" t="s">
        <v>1</v>
      </c>
      <c r="B3359" s="2"/>
      <c r="C3359" s="6">
        <v>2</v>
      </c>
      <c r="D3359" s="2"/>
      <c r="E3359" s="2"/>
      <c r="F3359" s="2"/>
      <c r="G3359" s="2"/>
      <c r="H3359" s="2"/>
      <c r="I3359" s="2"/>
      <c r="J3359" s="2"/>
      <c r="K3359" s="2"/>
      <c r="L3359" s="2"/>
      <c r="M3359" s="2"/>
    </row>
    <row r="3360" spans="1:13" ht="12.75">
      <c r="A3360" s="2" t="s">
        <v>2</v>
      </c>
      <c r="B3360" s="2"/>
      <c r="C3360" s="6">
        <v>3</v>
      </c>
      <c r="D3360" s="2"/>
      <c r="E3360" s="2"/>
      <c r="F3360" s="2"/>
      <c r="G3360" s="2"/>
      <c r="H3360" s="2"/>
      <c r="I3360" s="2"/>
      <c r="J3360" s="2"/>
      <c r="K3360" s="2"/>
      <c r="L3360" s="2"/>
      <c r="M3360" s="2"/>
    </row>
    <row r="3361" spans="1:13" ht="12.75">
      <c r="A3361" s="2" t="s">
        <v>3</v>
      </c>
      <c r="B3361" s="2"/>
      <c r="C3361" s="6">
        <v>8</v>
      </c>
      <c r="D3361" s="2"/>
      <c r="E3361" s="2"/>
      <c r="F3361" s="2"/>
      <c r="G3361" s="2"/>
      <c r="H3361" s="2"/>
      <c r="I3361" s="2"/>
      <c r="J3361" s="2"/>
      <c r="K3361" s="2"/>
      <c r="L3361" s="2"/>
      <c r="M3361" s="2"/>
    </row>
    <row r="3362" spans="1:13" ht="12.75">
      <c r="A3362" s="2" t="s">
        <v>4</v>
      </c>
      <c r="B3362" s="6"/>
      <c r="C3362" s="6">
        <v>655.87</v>
      </c>
      <c r="D3362" s="6"/>
      <c r="E3362" s="6"/>
      <c r="F3362" s="6"/>
      <c r="G3362" s="2"/>
      <c r="H3362" s="2"/>
      <c r="I3362" s="2"/>
      <c r="J3362" s="2"/>
      <c r="K3362" s="2">
        <v>787.47</v>
      </c>
      <c r="L3362" s="2"/>
      <c r="M3362" s="2"/>
    </row>
    <row r="3363" spans="1:13" ht="21.75">
      <c r="A3363" s="35" t="s">
        <v>6</v>
      </c>
      <c r="B3363" s="11" t="s">
        <v>40</v>
      </c>
      <c r="C3363" s="2" t="s">
        <v>22</v>
      </c>
      <c r="D3363" s="2"/>
      <c r="E3363" s="2"/>
      <c r="F3363" s="2"/>
      <c r="G3363" s="2"/>
      <c r="H3363" s="2"/>
      <c r="I3363" s="2"/>
      <c r="J3363" s="2"/>
      <c r="K3363" s="2"/>
      <c r="L3363" s="2"/>
      <c r="M3363" s="2"/>
    </row>
    <row r="3364" spans="1:13" ht="22.5">
      <c r="A3364" s="40" t="s">
        <v>7</v>
      </c>
      <c r="B3364" s="3"/>
      <c r="C3364" s="6"/>
      <c r="D3364" s="6"/>
      <c r="E3364" s="6">
        <f>G3364+I3364+K3364+M3364</f>
        <v>41658.25</v>
      </c>
      <c r="F3364" s="2"/>
      <c r="G3364" s="2">
        <v>8772.05</v>
      </c>
      <c r="H3364" s="2"/>
      <c r="I3364" s="6">
        <v>8740.58</v>
      </c>
      <c r="J3364" s="2"/>
      <c r="K3364" s="2">
        <v>10741.19</v>
      </c>
      <c r="L3364" s="2"/>
      <c r="M3364" s="2">
        <v>13404.43</v>
      </c>
    </row>
    <row r="3365" spans="1:13" ht="12.75">
      <c r="A3365" s="41" t="s">
        <v>8</v>
      </c>
      <c r="B3365" s="3"/>
      <c r="C3365" s="6"/>
      <c r="D3365" s="6"/>
      <c r="E3365" s="6"/>
      <c r="F3365" s="2"/>
      <c r="G3365" s="2"/>
      <c r="H3365" s="2"/>
      <c r="I3365" s="6"/>
      <c r="J3365" s="2"/>
      <c r="K3365" s="2"/>
      <c r="L3365" s="2"/>
      <c r="M3365" s="2"/>
    </row>
    <row r="3366" spans="1:13" ht="12.75">
      <c r="A3366" s="41" t="s">
        <v>9</v>
      </c>
      <c r="B3366" s="3"/>
      <c r="C3366" s="6"/>
      <c r="D3366" s="6"/>
      <c r="E3366" s="6"/>
      <c r="F3366" s="2"/>
      <c r="G3366" s="2"/>
      <c r="H3366" s="2"/>
      <c r="I3366" s="6"/>
      <c r="J3366" s="2"/>
      <c r="K3366" s="2"/>
      <c r="L3366" s="2"/>
      <c r="M3366" s="2"/>
    </row>
    <row r="3367" spans="1:13" ht="12.75">
      <c r="A3367" s="2" t="s">
        <v>10</v>
      </c>
      <c r="B3367" s="42"/>
      <c r="C3367" s="11"/>
      <c r="D3367" s="11"/>
      <c r="E3367" s="11">
        <f>SUM(E3364:E3366)</f>
        <v>41658.25</v>
      </c>
      <c r="F3367" s="37"/>
      <c r="G3367" s="37">
        <f>SUM(G3364:G3366)</f>
        <v>8772.05</v>
      </c>
      <c r="H3367" s="2"/>
      <c r="I3367" s="6">
        <f>SUM(I3364:I3366)</f>
        <v>8740.58</v>
      </c>
      <c r="J3367" s="2"/>
      <c r="K3367" s="2">
        <f>SUM(K3364:K3366)</f>
        <v>10741.19</v>
      </c>
      <c r="L3367" s="2"/>
      <c r="M3367" s="2">
        <f>SUM(M3364:M3366)</f>
        <v>13404.43</v>
      </c>
    </row>
    <row r="3368" spans="1:13" ht="21.75">
      <c r="A3368" s="35" t="s">
        <v>82</v>
      </c>
      <c r="B3368" s="42"/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</row>
    <row r="3369" spans="1:13" ht="12.75">
      <c r="A3369" s="43" t="s">
        <v>11</v>
      </c>
      <c r="B3369" s="44"/>
      <c r="C3369" s="45"/>
      <c r="D3369" s="45"/>
      <c r="E3369" s="45">
        <f>G3369+I3369+K3369+M3369</f>
        <v>23195.6752221</v>
      </c>
      <c r="F3369" s="45"/>
      <c r="G3369" s="45">
        <f>7.99407*C3362</f>
        <v>5243.0706909</v>
      </c>
      <c r="H3369" s="2"/>
      <c r="I3369" s="7">
        <v>6102</v>
      </c>
      <c r="J3369" s="2"/>
      <c r="K3369" s="7">
        <f>7.32829*K3362</f>
        <v>5770.8085263</v>
      </c>
      <c r="L3369" s="2"/>
      <c r="M3369" s="7">
        <f>7.72067*K3362</f>
        <v>6079.7960049</v>
      </c>
    </row>
    <row r="3370" spans="1:13" ht="12.75">
      <c r="A3370" s="43" t="s">
        <v>12</v>
      </c>
      <c r="B3370" s="46"/>
      <c r="C3370" s="7"/>
      <c r="D3370" s="7"/>
      <c r="E3370" s="7">
        <f aca="true" t="shared" si="58" ref="E3370:E3412">G3370+I3370+K3370+M3370</f>
        <v>0</v>
      </c>
      <c r="F3370" s="7"/>
      <c r="G3370" s="2"/>
      <c r="H3370" s="2"/>
      <c r="I3370" s="7"/>
      <c r="J3370" s="2"/>
      <c r="K3370" s="7"/>
      <c r="L3370" s="2"/>
      <c r="M3370" s="7"/>
    </row>
    <row r="3371" spans="1:13" ht="12.75">
      <c r="A3371" s="41" t="s">
        <v>13</v>
      </c>
      <c r="B3371" s="46"/>
      <c r="C3371" s="7"/>
      <c r="D3371" s="7"/>
      <c r="E3371" s="45">
        <f t="shared" si="58"/>
        <v>12816.582212500001</v>
      </c>
      <c r="F3371" s="45"/>
      <c r="G3371" s="45">
        <f>G3372+G3374+G3375+G3376+G3377+G3378+G3379+G3380+G3381+G3382+G3383</f>
        <v>2597.8156579</v>
      </c>
      <c r="H3371" s="2"/>
      <c r="I3371" s="7">
        <f>I3372+I3374+I3375+I3376+I3377+I3378+I3379+I3380+I3381+I3382+I3383</f>
        <v>3719.9842343</v>
      </c>
      <c r="J3371" s="2"/>
      <c r="K3371" s="7">
        <f>K3372+K3374+K3375+K3376+K3377+K3378+K3379+K3380+K3381+K3382+K3383</f>
        <v>4374.782320300001</v>
      </c>
      <c r="L3371" s="2"/>
      <c r="M3371" s="7">
        <v>2124</v>
      </c>
    </row>
    <row r="3372" spans="1:13" ht="12.75">
      <c r="A3372" s="47" t="s">
        <v>14</v>
      </c>
      <c r="B3372" s="46"/>
      <c r="C3372" s="71"/>
      <c r="D3372" s="7"/>
      <c r="E3372" s="7">
        <f t="shared" si="58"/>
        <v>8625</v>
      </c>
      <c r="F3372" s="7"/>
      <c r="G3372" s="7">
        <v>2187</v>
      </c>
      <c r="H3372" s="2"/>
      <c r="I3372" s="7">
        <v>1993</v>
      </c>
      <c r="J3372" s="2"/>
      <c r="K3372" s="7">
        <v>2742</v>
      </c>
      <c r="L3372" s="2"/>
      <c r="M3372" s="7">
        <v>1703</v>
      </c>
    </row>
    <row r="3373" spans="1:13" ht="12.75">
      <c r="A3373" s="41" t="s">
        <v>19</v>
      </c>
      <c r="B3373" s="46"/>
      <c r="C3373" s="71"/>
      <c r="D3373" s="7"/>
      <c r="E3373" s="7">
        <f t="shared" si="58"/>
        <v>0</v>
      </c>
      <c r="F3373" s="7"/>
      <c r="G3373" s="7">
        <v>0</v>
      </c>
      <c r="H3373" s="2"/>
      <c r="I3373" s="7">
        <v>0</v>
      </c>
      <c r="J3373" s="2"/>
      <c r="K3373" s="7">
        <v>0</v>
      </c>
      <c r="L3373" s="2"/>
      <c r="M3373" s="7">
        <v>0</v>
      </c>
    </row>
    <row r="3374" spans="1:13" ht="12.75">
      <c r="A3374" s="41" t="s">
        <v>18</v>
      </c>
      <c r="B3374" s="46"/>
      <c r="C3374" s="7"/>
      <c r="D3374" s="7"/>
      <c r="E3374" s="7">
        <f t="shared" si="58"/>
        <v>246.7</v>
      </c>
      <c r="F3374" s="7"/>
      <c r="G3374" s="7">
        <v>38.17</v>
      </c>
      <c r="H3374" s="2"/>
      <c r="I3374" s="7">
        <v>57</v>
      </c>
      <c r="J3374" s="2"/>
      <c r="K3374" s="7">
        <v>72.74</v>
      </c>
      <c r="L3374" s="2"/>
      <c r="M3374" s="7">
        <v>78.79</v>
      </c>
    </row>
    <row r="3375" spans="1:13" ht="12.75">
      <c r="A3375" s="41" t="s">
        <v>53</v>
      </c>
      <c r="B3375" s="46"/>
      <c r="C3375" s="7"/>
      <c r="D3375" s="7"/>
      <c r="E3375" s="7">
        <f t="shared" si="58"/>
        <v>1373.1273575</v>
      </c>
      <c r="F3375" s="7"/>
      <c r="G3375" s="7">
        <f>0.54857*C3362</f>
        <v>359.7906059</v>
      </c>
      <c r="H3375" s="2"/>
      <c r="I3375" s="7">
        <f>0.53049*C3362</f>
        <v>347.9324763</v>
      </c>
      <c r="J3375" s="2"/>
      <c r="K3375" s="7">
        <f>0.60599*K3362</f>
        <v>477.19894530000005</v>
      </c>
      <c r="L3375" s="2"/>
      <c r="M3375" s="7">
        <f>0.239*K3362</f>
        <v>188.20533</v>
      </c>
    </row>
    <row r="3376" spans="1:13" ht="12.75">
      <c r="A3376" s="41" t="s">
        <v>148</v>
      </c>
      <c r="B3376" s="46"/>
      <c r="C3376" s="7"/>
      <c r="D3376" s="7"/>
      <c r="E3376" s="7">
        <f t="shared" si="58"/>
        <v>0</v>
      </c>
      <c r="F3376" s="7"/>
      <c r="G3376" s="7"/>
      <c r="H3376" s="2"/>
      <c r="I3376" s="7"/>
      <c r="J3376" s="2"/>
      <c r="K3376" s="7"/>
      <c r="L3376" s="2"/>
      <c r="M3376" s="7"/>
    </row>
    <row r="3377" spans="1:13" ht="12.75">
      <c r="A3377" s="41" t="s">
        <v>27</v>
      </c>
      <c r="B3377" s="46"/>
      <c r="C3377" s="7"/>
      <c r="D3377" s="7"/>
      <c r="E3377" s="7">
        <f t="shared" si="58"/>
        <v>49.124663</v>
      </c>
      <c r="F3377" s="7"/>
      <c r="G3377" s="7"/>
      <c r="H3377" s="2"/>
      <c r="I3377" s="7">
        <f>0.0749*C3362</f>
        <v>49.124663</v>
      </c>
      <c r="J3377" s="2"/>
      <c r="K3377" s="7"/>
      <c r="L3377" s="2"/>
      <c r="M3377" s="7"/>
    </row>
    <row r="3378" spans="1:13" ht="12.75">
      <c r="A3378" s="41" t="s">
        <v>36</v>
      </c>
      <c r="B3378" s="46"/>
      <c r="C3378" s="7"/>
      <c r="D3378" s="7"/>
      <c r="E3378" s="7">
        <f t="shared" si="58"/>
        <v>2301</v>
      </c>
      <c r="F3378" s="7"/>
      <c r="G3378" s="7"/>
      <c r="H3378" s="2" t="s">
        <v>233</v>
      </c>
      <c r="I3378" s="7">
        <v>1228</v>
      </c>
      <c r="J3378" s="2" t="s">
        <v>372</v>
      </c>
      <c r="K3378" s="7">
        <v>1073</v>
      </c>
      <c r="L3378" s="2"/>
      <c r="M3378" s="7"/>
    </row>
    <row r="3379" spans="1:13" ht="12.75">
      <c r="A3379" s="41" t="s">
        <v>58</v>
      </c>
      <c r="B3379" s="46"/>
      <c r="C3379" s="7"/>
      <c r="D3379" s="7"/>
      <c r="E3379" s="7">
        <f t="shared" si="58"/>
        <v>0</v>
      </c>
      <c r="F3379" s="7"/>
      <c r="G3379" s="7"/>
      <c r="H3379" s="2"/>
      <c r="I3379" s="7"/>
      <c r="J3379" s="2"/>
      <c r="K3379" s="7"/>
      <c r="L3379" s="2"/>
      <c r="M3379" s="7"/>
    </row>
    <row r="3380" spans="1:13" ht="12.75">
      <c r="A3380" s="41" t="s">
        <v>43</v>
      </c>
      <c r="B3380" s="46"/>
      <c r="C3380" s="7"/>
      <c r="D3380" s="7"/>
      <c r="E3380" s="7">
        <f t="shared" si="58"/>
        <v>0</v>
      </c>
      <c r="F3380" s="7"/>
      <c r="G3380" s="7"/>
      <c r="H3380" s="2"/>
      <c r="I3380" s="7"/>
      <c r="J3380" s="2"/>
      <c r="K3380" s="7"/>
      <c r="L3380" s="2"/>
      <c r="M3380" s="7"/>
    </row>
    <row r="3381" spans="1:13" ht="12.75">
      <c r="A3381" s="41" t="s">
        <v>30</v>
      </c>
      <c r="B3381" s="46"/>
      <c r="C3381" s="7"/>
      <c r="D3381" s="7"/>
      <c r="E3381" s="7">
        <f t="shared" si="58"/>
        <v>0</v>
      </c>
      <c r="F3381" s="7"/>
      <c r="G3381" s="7"/>
      <c r="H3381" s="2"/>
      <c r="I3381" s="7"/>
      <c r="J3381" s="2"/>
      <c r="K3381" s="7"/>
      <c r="L3381" s="2"/>
      <c r="M3381" s="7"/>
    </row>
    <row r="3382" spans="1:13" ht="12.75">
      <c r="A3382" s="41" t="s">
        <v>54</v>
      </c>
      <c r="B3382" s="46"/>
      <c r="C3382" s="7"/>
      <c r="D3382" s="7"/>
      <c r="E3382" s="7">
        <f t="shared" si="58"/>
        <v>12.855051999999999</v>
      </c>
      <c r="F3382" s="7"/>
      <c r="G3382" s="7">
        <f>0.0196*C3362</f>
        <v>12.855051999999999</v>
      </c>
      <c r="H3382" s="2"/>
      <c r="I3382" s="7"/>
      <c r="J3382" s="2"/>
      <c r="K3382" s="7"/>
      <c r="L3382" s="2"/>
      <c r="M3382" s="7"/>
    </row>
    <row r="3383" spans="1:13" ht="13.5" thickBot="1">
      <c r="A3383" s="48" t="s">
        <v>55</v>
      </c>
      <c r="B3383" s="49"/>
      <c r="C3383" s="50"/>
      <c r="D3383" s="50"/>
      <c r="E3383" s="50">
        <f t="shared" si="58"/>
        <v>54.77047</v>
      </c>
      <c r="F3383" s="50"/>
      <c r="G3383" s="50"/>
      <c r="H3383" s="22"/>
      <c r="I3383" s="50">
        <f>0.0685*C3362</f>
        <v>44.927095</v>
      </c>
      <c r="J3383" s="22"/>
      <c r="K3383" s="50">
        <f>0.0125*K3362</f>
        <v>9.843375000000002</v>
      </c>
      <c r="L3383" s="22"/>
      <c r="M3383" s="50"/>
    </row>
    <row r="3384" spans="1:13" ht="13.5" thickBot="1">
      <c r="A3384" s="51" t="s">
        <v>76</v>
      </c>
      <c r="B3384" s="81"/>
      <c r="C3384" s="63"/>
      <c r="D3384" s="63"/>
      <c r="E3384" s="63">
        <f t="shared" si="58"/>
        <v>36012.257434600004</v>
      </c>
      <c r="F3384" s="63"/>
      <c r="G3384" s="63">
        <f>G3369+G3371</f>
        <v>7840.886348800001</v>
      </c>
      <c r="H3384" s="26"/>
      <c r="I3384" s="63">
        <f>I3369+I3371</f>
        <v>9821.9842343</v>
      </c>
      <c r="J3384" s="26"/>
      <c r="K3384" s="63">
        <f>K3369+K3371</f>
        <v>10145.5908466</v>
      </c>
      <c r="L3384" s="26"/>
      <c r="M3384" s="29">
        <f>M3369+M3371</f>
        <v>8203.7960049</v>
      </c>
    </row>
    <row r="3385" spans="1:13" ht="21.75">
      <c r="A3385" s="54" t="s">
        <v>15</v>
      </c>
      <c r="B3385" s="55"/>
      <c r="C3385" s="66"/>
      <c r="D3385" s="66"/>
      <c r="E3385" s="56">
        <f t="shared" si="58"/>
        <v>0</v>
      </c>
      <c r="F3385" s="66"/>
      <c r="G3385" s="56"/>
      <c r="H3385" s="74"/>
      <c r="I3385" s="56"/>
      <c r="J3385" s="74"/>
      <c r="K3385" s="56"/>
      <c r="L3385" s="74"/>
      <c r="M3385" s="56"/>
    </row>
    <row r="3386" spans="1:13" ht="12.75">
      <c r="A3386" s="41" t="s">
        <v>17</v>
      </c>
      <c r="B3386" s="46"/>
      <c r="C3386" s="7"/>
      <c r="D3386" s="7"/>
      <c r="E3386" s="7">
        <f t="shared" si="58"/>
        <v>20452.7711317</v>
      </c>
      <c r="F3386" s="7"/>
      <c r="G3386" s="7">
        <f>6.73321*C3362</f>
        <v>4416.1104427</v>
      </c>
      <c r="H3386" s="2"/>
      <c r="I3386" s="7">
        <f>7.02207*C3362</f>
        <v>4605.565050900001</v>
      </c>
      <c r="J3386" s="2"/>
      <c r="K3386" s="7">
        <f>7.2754*K3362</f>
        <v>5729.159238</v>
      </c>
      <c r="L3386" s="2"/>
      <c r="M3386" s="7">
        <f>7.24083*K3362</f>
        <v>5701.9364001</v>
      </c>
    </row>
    <row r="3387" spans="1:13" ht="12.75">
      <c r="A3387" s="41" t="s">
        <v>34</v>
      </c>
      <c r="B3387" s="46"/>
      <c r="C3387" s="71"/>
      <c r="D3387" s="7"/>
      <c r="E3387" s="7">
        <f t="shared" si="58"/>
        <v>0</v>
      </c>
      <c r="F3387" s="7"/>
      <c r="G3387" s="7"/>
      <c r="H3387" s="2"/>
      <c r="I3387" s="7"/>
      <c r="J3387" s="2"/>
      <c r="K3387" s="7"/>
      <c r="L3387" s="2"/>
      <c r="M3387" s="7"/>
    </row>
    <row r="3388" spans="1:13" ht="12.75">
      <c r="A3388" s="41" t="s">
        <v>67</v>
      </c>
      <c r="B3388" s="46"/>
      <c r="C3388" s="7"/>
      <c r="D3388" s="7"/>
      <c r="E3388" s="7">
        <f t="shared" si="58"/>
        <v>1688.1</v>
      </c>
      <c r="F3388" s="7"/>
      <c r="G3388" s="7"/>
      <c r="H3388" s="2"/>
      <c r="I3388" s="7"/>
      <c r="J3388" s="2"/>
      <c r="K3388" s="7"/>
      <c r="L3388" s="2"/>
      <c r="M3388" s="7">
        <v>1688.1</v>
      </c>
    </row>
    <row r="3389" spans="1:13" ht="12.75">
      <c r="A3389" s="41" t="s">
        <v>68</v>
      </c>
      <c r="B3389" s="46"/>
      <c r="C3389" s="7"/>
      <c r="D3389" s="7"/>
      <c r="E3389" s="7">
        <f t="shared" si="58"/>
        <v>0</v>
      </c>
      <c r="F3389" s="7"/>
      <c r="G3389" s="7"/>
      <c r="H3389" s="2"/>
      <c r="I3389" s="7"/>
      <c r="J3389" s="2"/>
      <c r="K3389" s="7"/>
      <c r="L3389" s="2"/>
      <c r="M3389" s="7"/>
    </row>
    <row r="3390" spans="1:13" ht="12.75">
      <c r="A3390" s="41" t="s">
        <v>69</v>
      </c>
      <c r="B3390" s="46"/>
      <c r="C3390" s="7"/>
      <c r="D3390" s="7"/>
      <c r="E3390" s="7">
        <f t="shared" si="58"/>
        <v>0</v>
      </c>
      <c r="F3390" s="7"/>
      <c r="G3390" s="7"/>
      <c r="H3390" s="2"/>
      <c r="I3390" s="7"/>
      <c r="J3390" s="2"/>
      <c r="K3390" s="7"/>
      <c r="L3390" s="2"/>
      <c r="M3390" s="7"/>
    </row>
    <row r="3391" spans="1:13" ht="12.75">
      <c r="A3391" s="41" t="s">
        <v>26</v>
      </c>
      <c r="B3391" s="46"/>
      <c r="C3391" s="7"/>
      <c r="D3391" s="7"/>
      <c r="E3391" s="7">
        <f t="shared" si="58"/>
        <v>0</v>
      </c>
      <c r="F3391" s="7"/>
      <c r="G3391" s="7"/>
      <c r="H3391" s="2"/>
      <c r="I3391" s="7"/>
      <c r="J3391" s="2"/>
      <c r="K3391" s="7"/>
      <c r="L3391" s="2"/>
      <c r="M3391" s="7"/>
    </row>
    <row r="3392" spans="1:13" ht="12.75">
      <c r="A3392" s="41" t="s">
        <v>28</v>
      </c>
      <c r="B3392" s="46"/>
      <c r="C3392" s="7"/>
      <c r="D3392" s="7"/>
      <c r="E3392" s="7">
        <f t="shared" si="58"/>
        <v>0</v>
      </c>
      <c r="F3392" s="7"/>
      <c r="G3392" s="7"/>
      <c r="H3392" s="2"/>
      <c r="I3392" s="7"/>
      <c r="J3392" s="2"/>
      <c r="K3392" s="7"/>
      <c r="L3392" s="2"/>
      <c r="M3392" s="7"/>
    </row>
    <row r="3393" spans="1:13" ht="12.75">
      <c r="A3393" s="41" t="s">
        <v>60</v>
      </c>
      <c r="B3393" s="46"/>
      <c r="C3393" s="7"/>
      <c r="D3393" s="7"/>
      <c r="E3393" s="7">
        <f t="shared" si="58"/>
        <v>0</v>
      </c>
      <c r="F3393" s="7"/>
      <c r="G3393" s="7"/>
      <c r="H3393" s="2"/>
      <c r="I3393" s="7"/>
      <c r="J3393" s="2"/>
      <c r="K3393" s="7"/>
      <c r="L3393" s="2"/>
      <c r="M3393" s="7"/>
    </row>
    <row r="3394" spans="1:13" ht="12.75">
      <c r="A3394" s="41" t="s">
        <v>75</v>
      </c>
      <c r="B3394" s="46"/>
      <c r="C3394" s="7"/>
      <c r="D3394" s="7"/>
      <c r="E3394" s="7">
        <f t="shared" si="58"/>
        <v>0</v>
      </c>
      <c r="F3394" s="7"/>
      <c r="G3394" s="7"/>
      <c r="H3394" s="2"/>
      <c r="I3394" s="7"/>
      <c r="J3394" s="2"/>
      <c r="K3394" s="7"/>
      <c r="L3394" s="2"/>
      <c r="M3394" s="7"/>
    </row>
    <row r="3395" spans="1:13" ht="12.75">
      <c r="A3395" s="41" t="s">
        <v>62</v>
      </c>
      <c r="B3395" s="46"/>
      <c r="C3395" s="7"/>
      <c r="D3395" s="7"/>
      <c r="E3395" s="7">
        <f t="shared" si="58"/>
        <v>0</v>
      </c>
      <c r="F3395" s="7"/>
      <c r="G3395" s="7"/>
      <c r="H3395" s="2"/>
      <c r="I3395" s="7"/>
      <c r="J3395" s="2"/>
      <c r="K3395" s="7"/>
      <c r="L3395" s="2"/>
      <c r="M3395" s="7"/>
    </row>
    <row r="3396" spans="1:13" ht="12.75">
      <c r="A3396" s="41" t="s">
        <v>63</v>
      </c>
      <c r="B3396" s="46"/>
      <c r="C3396" s="7"/>
      <c r="D3396" s="7"/>
      <c r="E3396" s="7">
        <f t="shared" si="58"/>
        <v>0</v>
      </c>
      <c r="F3396" s="7"/>
      <c r="G3396" s="7"/>
      <c r="H3396" s="2"/>
      <c r="I3396" s="7"/>
      <c r="J3396" s="2"/>
      <c r="K3396" s="7"/>
      <c r="L3396" s="2"/>
      <c r="M3396" s="7"/>
    </row>
    <row r="3397" spans="1:13" ht="12.75">
      <c r="A3397" s="41" t="s">
        <v>281</v>
      </c>
      <c r="B3397" s="46"/>
      <c r="C3397" s="7"/>
      <c r="D3397" s="7"/>
      <c r="E3397" s="7">
        <f t="shared" si="58"/>
        <v>705</v>
      </c>
      <c r="F3397" s="7"/>
      <c r="G3397" s="7"/>
      <c r="H3397" s="2"/>
      <c r="I3397" s="7">
        <v>705</v>
      </c>
      <c r="J3397" s="2"/>
      <c r="K3397" s="7"/>
      <c r="L3397" s="2"/>
      <c r="M3397" s="7"/>
    </row>
    <row r="3398" spans="1:13" ht="12.75">
      <c r="A3398" s="41" t="s">
        <v>51</v>
      </c>
      <c r="B3398" s="46"/>
      <c r="C3398" s="7"/>
      <c r="D3398" s="7"/>
      <c r="E3398" s="7">
        <f t="shared" si="58"/>
        <v>1041.7</v>
      </c>
      <c r="F3398" s="7"/>
      <c r="G3398" s="7"/>
      <c r="H3398" s="2"/>
      <c r="I3398" s="7">
        <v>1041.7</v>
      </c>
      <c r="J3398" s="2"/>
      <c r="K3398" s="7"/>
      <c r="L3398" s="2"/>
      <c r="M3398" s="7"/>
    </row>
    <row r="3399" spans="1:13" ht="12.75">
      <c r="A3399" s="58" t="s">
        <v>52</v>
      </c>
      <c r="B3399" s="46"/>
      <c r="C3399" s="7"/>
      <c r="D3399" s="7"/>
      <c r="E3399" s="7">
        <f t="shared" si="58"/>
        <v>0</v>
      </c>
      <c r="F3399" s="7"/>
      <c r="G3399" s="7"/>
      <c r="H3399" s="2"/>
      <c r="I3399" s="7"/>
      <c r="J3399" s="2"/>
      <c r="K3399" s="7"/>
      <c r="L3399" s="2"/>
      <c r="M3399" s="7"/>
    </row>
    <row r="3400" spans="1:13" ht="12.75">
      <c r="A3400" s="41" t="s">
        <v>80</v>
      </c>
      <c r="B3400" s="46"/>
      <c r="C3400" s="7"/>
      <c r="D3400" s="7"/>
      <c r="E3400" s="7">
        <f t="shared" si="58"/>
        <v>0</v>
      </c>
      <c r="F3400" s="7"/>
      <c r="G3400" s="7"/>
      <c r="H3400" s="2"/>
      <c r="I3400" s="7"/>
      <c r="J3400" s="2"/>
      <c r="K3400" s="7"/>
      <c r="L3400" s="2"/>
      <c r="M3400" s="7"/>
    </row>
    <row r="3401" spans="1:13" ht="12.75">
      <c r="A3401" s="41" t="s">
        <v>65</v>
      </c>
      <c r="B3401" s="46"/>
      <c r="C3401" s="7"/>
      <c r="D3401" s="7"/>
      <c r="E3401" s="7">
        <f t="shared" si="58"/>
        <v>0</v>
      </c>
      <c r="F3401" s="7"/>
      <c r="G3401" s="7"/>
      <c r="H3401" s="2"/>
      <c r="I3401" s="7"/>
      <c r="J3401" s="2"/>
      <c r="K3401" s="7"/>
      <c r="L3401" s="2"/>
      <c r="M3401" s="7"/>
    </row>
    <row r="3402" spans="1:13" ht="12.75">
      <c r="A3402" s="41" t="s">
        <v>57</v>
      </c>
      <c r="B3402" s="46"/>
      <c r="C3402" s="7"/>
      <c r="D3402" s="7"/>
      <c r="E3402" s="7">
        <f t="shared" si="58"/>
        <v>804.656677</v>
      </c>
      <c r="F3402" s="7" t="s">
        <v>174</v>
      </c>
      <c r="G3402" s="7">
        <v>800</v>
      </c>
      <c r="H3402" s="2"/>
      <c r="I3402" s="7">
        <f>0.0071*C3362</f>
        <v>4.656677</v>
      </c>
      <c r="J3402" s="2"/>
      <c r="K3402" s="7"/>
      <c r="L3402" s="2"/>
      <c r="M3402" s="7"/>
    </row>
    <row r="3403" spans="1:13" ht="12.75">
      <c r="A3403" s="41" t="s">
        <v>33</v>
      </c>
      <c r="B3403" s="46"/>
      <c r="C3403" s="7"/>
      <c r="D3403" s="7"/>
      <c r="E3403" s="7">
        <f t="shared" si="58"/>
        <v>1237</v>
      </c>
      <c r="F3403" s="15"/>
      <c r="G3403" s="7"/>
      <c r="H3403" s="2"/>
      <c r="I3403" s="7"/>
      <c r="J3403" s="2"/>
      <c r="K3403" s="7"/>
      <c r="L3403" s="2"/>
      <c r="M3403" s="7">
        <v>1237</v>
      </c>
    </row>
    <row r="3404" spans="1:13" ht="12.75">
      <c r="A3404" s="41" t="s">
        <v>50</v>
      </c>
      <c r="B3404" s="46"/>
      <c r="C3404" s="7"/>
      <c r="D3404" s="7"/>
      <c r="E3404" s="7">
        <f t="shared" si="58"/>
        <v>754.7199880000001</v>
      </c>
      <c r="F3404" s="7"/>
      <c r="G3404" s="7">
        <f>0.2455*C3362</f>
        <v>161.016085</v>
      </c>
      <c r="H3404" s="2"/>
      <c r="I3404" s="7">
        <f>0.5802*C3362</f>
        <v>380.53577400000006</v>
      </c>
      <c r="J3404" s="2"/>
      <c r="K3404" s="7">
        <f>0.1437*K3362</f>
        <v>113.159439</v>
      </c>
      <c r="L3404" s="2"/>
      <c r="M3404" s="7">
        <f>0.127*K3362</f>
        <v>100.00869</v>
      </c>
    </row>
    <row r="3405" spans="1:13" ht="13.5" thickBot="1">
      <c r="A3405" s="48" t="s">
        <v>54</v>
      </c>
      <c r="B3405" s="49"/>
      <c r="C3405" s="50"/>
      <c r="D3405" s="50"/>
      <c r="E3405" s="50">
        <f t="shared" si="58"/>
        <v>23.227596</v>
      </c>
      <c r="F3405" s="50"/>
      <c r="G3405" s="50"/>
      <c r="H3405" s="22"/>
      <c r="I3405" s="50">
        <f>0.0078*C3362</f>
        <v>5.115786</v>
      </c>
      <c r="J3405" s="22"/>
      <c r="K3405" s="50">
        <f>0.011*K3362</f>
        <v>8.66217</v>
      </c>
      <c r="L3405" s="22"/>
      <c r="M3405" s="50">
        <f>0.012*K3362</f>
        <v>9.44964</v>
      </c>
    </row>
    <row r="3406" spans="1:13" ht="13.5" thickBot="1">
      <c r="A3406" s="59" t="s">
        <v>10</v>
      </c>
      <c r="B3406" s="81"/>
      <c r="C3406" s="63"/>
      <c r="D3406" s="63"/>
      <c r="E3406" s="63">
        <f t="shared" si="58"/>
        <v>26707.175392700003</v>
      </c>
      <c r="F3406" s="63"/>
      <c r="G3406" s="63">
        <f>SUM(G3386:G3405)</f>
        <v>5377.1265277</v>
      </c>
      <c r="H3406" s="26"/>
      <c r="I3406" s="63">
        <f>SUM(I3386:I3405)</f>
        <v>6742.573287900001</v>
      </c>
      <c r="J3406" s="26"/>
      <c r="K3406" s="63">
        <f>SUM(K3386:K3405)</f>
        <v>5850.980847</v>
      </c>
      <c r="L3406" s="26"/>
      <c r="M3406" s="29">
        <f>SUM(M3386:M3405)</f>
        <v>8736.494730100001</v>
      </c>
    </row>
    <row r="3407" spans="1:13" ht="12.75">
      <c r="A3407" s="60" t="s">
        <v>42</v>
      </c>
      <c r="B3407" s="55"/>
      <c r="C3407" s="66"/>
      <c r="D3407" s="66"/>
      <c r="E3407" s="56">
        <f t="shared" si="58"/>
        <v>0</v>
      </c>
      <c r="F3407" s="66"/>
      <c r="G3407" s="56"/>
      <c r="H3407" s="74"/>
      <c r="I3407" s="56"/>
      <c r="J3407" s="74"/>
      <c r="K3407" s="56"/>
      <c r="L3407" s="74"/>
      <c r="M3407" s="56"/>
    </row>
    <row r="3408" spans="1:13" ht="12.75">
      <c r="A3408" s="41" t="s">
        <v>56</v>
      </c>
      <c r="B3408" s="46"/>
      <c r="C3408" s="7"/>
      <c r="D3408" s="7"/>
      <c r="E3408" s="7">
        <f t="shared" si="58"/>
        <v>0</v>
      </c>
      <c r="F3408" s="7"/>
      <c r="G3408" s="7"/>
      <c r="H3408" s="2"/>
      <c r="I3408" s="7"/>
      <c r="J3408" s="2"/>
      <c r="K3408" s="7"/>
      <c r="L3408" s="2"/>
      <c r="M3408" s="7"/>
    </row>
    <row r="3409" spans="1:13" ht="13.5" thickBot="1">
      <c r="A3409" s="48" t="s">
        <v>16</v>
      </c>
      <c r="B3409" s="49"/>
      <c r="C3409" s="50"/>
      <c r="D3409" s="50"/>
      <c r="E3409" s="50">
        <f t="shared" si="58"/>
        <v>26.941439000000003</v>
      </c>
      <c r="F3409" s="50"/>
      <c r="G3409" s="50">
        <f>0.0089*C3362</f>
        <v>5.837243</v>
      </c>
      <c r="H3409" s="22"/>
      <c r="I3409" s="50"/>
      <c r="J3409" s="22"/>
      <c r="K3409" s="50"/>
      <c r="L3409" s="22"/>
      <c r="M3409" s="50">
        <f>0.0268*K3362</f>
        <v>21.104196</v>
      </c>
    </row>
    <row r="3410" spans="1:13" ht="13.5" thickBot="1">
      <c r="A3410" s="62" t="s">
        <v>10</v>
      </c>
      <c r="B3410" s="81"/>
      <c r="C3410" s="63"/>
      <c r="D3410" s="63"/>
      <c r="E3410" s="63">
        <f t="shared" si="58"/>
        <v>26.941439000000003</v>
      </c>
      <c r="F3410" s="63"/>
      <c r="G3410" s="63">
        <f>SUM(G3408:G3409)</f>
        <v>5.837243</v>
      </c>
      <c r="H3410" s="26"/>
      <c r="I3410" s="63"/>
      <c r="J3410" s="26"/>
      <c r="K3410" s="63"/>
      <c r="L3410" s="26"/>
      <c r="M3410" s="29">
        <f>SUM(M3408:M3409)</f>
        <v>21.104196</v>
      </c>
    </row>
    <row r="3411" spans="1:13" ht="13.5" thickBot="1">
      <c r="A3411" s="64" t="s">
        <v>29</v>
      </c>
      <c r="B3411" s="81"/>
      <c r="C3411" s="63"/>
      <c r="D3411" s="63"/>
      <c r="E3411" s="63">
        <f t="shared" si="58"/>
        <v>2255.4883720000003</v>
      </c>
      <c r="F3411" s="63"/>
      <c r="G3411" s="63">
        <f>0.4236*C3362</f>
        <v>277.826532</v>
      </c>
      <c r="H3411" s="26"/>
      <c r="I3411" s="63">
        <v>976</v>
      </c>
      <c r="J3411" s="26"/>
      <c r="K3411" s="63"/>
      <c r="L3411" s="26"/>
      <c r="M3411" s="29">
        <f>1.272*K3362</f>
        <v>1001.6618400000001</v>
      </c>
    </row>
    <row r="3412" spans="1:13" ht="21.75">
      <c r="A3412" s="65" t="s">
        <v>83</v>
      </c>
      <c r="B3412" s="61"/>
      <c r="C3412" s="56"/>
      <c r="D3412" s="56"/>
      <c r="E3412" s="56">
        <f t="shared" si="58"/>
        <v>65001.86263830001</v>
      </c>
      <c r="F3412" s="56"/>
      <c r="G3412" s="56">
        <f>G3384+G3406+G3410+G3411</f>
        <v>13501.6766515</v>
      </c>
      <c r="H3412" s="74"/>
      <c r="I3412" s="56">
        <f>I3384+I3406+I3411</f>
        <v>17540.5575222</v>
      </c>
      <c r="J3412" s="74"/>
      <c r="K3412" s="56">
        <f>K3384+K3406+K3410+K3411</f>
        <v>15996.571693599999</v>
      </c>
      <c r="L3412" s="74"/>
      <c r="M3412" s="56">
        <f>M3384+M3406+M3410+M3411</f>
        <v>17963.056771000003</v>
      </c>
    </row>
    <row r="3413" spans="1:13" ht="33.75">
      <c r="A3413" s="67" t="s">
        <v>84</v>
      </c>
      <c r="B3413" s="46"/>
      <c r="C3413" s="7"/>
      <c r="D3413" s="7"/>
      <c r="E3413" s="8">
        <f>E3412/6/C3362</f>
        <v>16.517974252595792</v>
      </c>
      <c r="F3413" s="7"/>
      <c r="G3413" s="8">
        <f>G3412/3/C3362</f>
        <v>6.861967895822851</v>
      </c>
      <c r="H3413" s="2"/>
      <c r="I3413" s="8">
        <f>I3412/3/C3362</f>
        <v>8.914651542836232</v>
      </c>
      <c r="J3413" s="2"/>
      <c r="K3413" s="8">
        <f>K3412/3/K3362</f>
        <v>6.771293591544227</v>
      </c>
      <c r="L3413" s="2"/>
      <c r="M3413" s="8">
        <f>M3412/3/K3362</f>
        <v>7.603699938198705</v>
      </c>
    </row>
    <row r="3414" spans="1:13" ht="12.75">
      <c r="A3414" s="69" t="s">
        <v>20</v>
      </c>
      <c r="B3414" s="44"/>
      <c r="C3414" s="45"/>
      <c r="D3414" s="45"/>
      <c r="E3414" s="45">
        <f>E3367-E3412</f>
        <v>-23343.61263830001</v>
      </c>
      <c r="F3414" s="45"/>
      <c r="G3414" s="7">
        <f>G3367-G3412</f>
        <v>-4729.626651500001</v>
      </c>
      <c r="H3414" s="2"/>
      <c r="I3414" s="7">
        <f>I3367-I3412-4730</f>
        <v>-13529.9775222</v>
      </c>
      <c r="J3414" s="2"/>
      <c r="K3414" s="7">
        <f>K3367-K3412-13530</f>
        <v>-18785.3816936</v>
      </c>
      <c r="L3414" s="2"/>
      <c r="M3414" s="7">
        <f>M3367-M3412-18785</f>
        <v>-23343.626771000003</v>
      </c>
    </row>
    <row r="3415" spans="1:13" ht="12.75">
      <c r="A3415" s="14" t="s">
        <v>24</v>
      </c>
      <c r="B3415" s="14"/>
      <c r="C3415" s="14"/>
      <c r="D3415" s="14"/>
      <c r="E3415" s="14"/>
      <c r="F3415" s="14"/>
      <c r="G3415" s="14"/>
      <c r="H3415" s="14"/>
      <c r="I3415" s="14"/>
      <c r="J3415" s="14"/>
      <c r="K3415" s="14"/>
      <c r="L3415" s="14"/>
      <c r="M3415" s="14"/>
    </row>
    <row r="3416" spans="1:13" ht="12.75">
      <c r="A3416" s="14" t="s">
        <v>35</v>
      </c>
      <c r="B3416" s="14"/>
      <c r="C3416" s="14"/>
      <c r="D3416" s="14"/>
      <c r="E3416" s="14"/>
      <c r="F3416" s="14"/>
      <c r="G3416" s="14"/>
      <c r="H3416" s="14"/>
      <c r="I3416" s="14"/>
      <c r="J3416" s="14"/>
      <c r="K3416" s="14"/>
      <c r="L3416" s="14"/>
      <c r="M3416" s="14"/>
    </row>
    <row r="3417" spans="1:13" ht="12.75">
      <c r="A3417" s="14" t="s">
        <v>25</v>
      </c>
      <c r="B3417" s="14"/>
      <c r="C3417" s="14"/>
      <c r="D3417" s="14"/>
      <c r="E3417" s="14"/>
      <c r="F3417" s="14"/>
      <c r="G3417" s="14"/>
      <c r="H3417" s="14"/>
      <c r="I3417" s="14"/>
      <c r="J3417" s="14"/>
      <c r="K3417" s="14"/>
      <c r="L3417" s="14"/>
      <c r="M3417" s="14"/>
    </row>
    <row r="3418" spans="1:13" ht="12.75">
      <c r="A3418" s="14"/>
      <c r="B3418" s="14"/>
      <c r="C3418" s="14"/>
      <c r="D3418" s="14"/>
      <c r="E3418" s="14"/>
      <c r="F3418" s="14"/>
      <c r="G3418" s="14"/>
      <c r="H3418" s="14"/>
      <c r="I3418" s="14"/>
      <c r="J3418" s="14"/>
      <c r="K3418" s="14"/>
      <c r="L3418" s="14"/>
      <c r="M3418" s="14"/>
    </row>
    <row r="3419" spans="1:13" ht="12.75">
      <c r="A3419" s="14"/>
      <c r="B3419" s="14"/>
      <c r="C3419" s="14"/>
      <c r="D3419" s="14"/>
      <c r="E3419" s="14"/>
      <c r="F3419" s="14"/>
      <c r="G3419" s="14"/>
      <c r="H3419" s="14"/>
      <c r="I3419" s="14"/>
      <c r="J3419" s="14"/>
      <c r="K3419" s="14"/>
      <c r="L3419" s="14"/>
      <c r="M3419" s="14"/>
    </row>
    <row r="3420" spans="1:13" ht="12.75">
      <c r="A3420" s="14"/>
      <c r="B3420" s="14"/>
      <c r="C3420" s="14"/>
      <c r="D3420" s="14"/>
      <c r="E3420" s="14"/>
      <c r="F3420" s="14"/>
      <c r="G3420" s="14"/>
      <c r="H3420" s="14"/>
      <c r="I3420" s="14"/>
      <c r="J3420" s="14"/>
      <c r="K3420" s="14"/>
      <c r="L3420" s="14"/>
      <c r="M3420" s="14"/>
    </row>
    <row r="3421" spans="1:13" ht="12.75">
      <c r="A3421" s="14"/>
      <c r="B3421" s="14"/>
      <c r="C3421" s="14"/>
      <c r="D3421" s="14"/>
      <c r="E3421" s="14"/>
      <c r="F3421" s="14"/>
      <c r="G3421" s="14"/>
      <c r="H3421" s="14"/>
      <c r="I3421" s="14"/>
      <c r="J3421" s="14"/>
      <c r="K3421" s="14"/>
      <c r="L3421" s="14"/>
      <c r="M3421" s="14"/>
    </row>
    <row r="3422" spans="1:13" ht="12.75">
      <c r="A3422" s="14"/>
      <c r="B3422" s="14"/>
      <c r="C3422" s="14"/>
      <c r="D3422" s="14"/>
      <c r="E3422" s="14"/>
      <c r="F3422" s="14"/>
      <c r="G3422" s="14"/>
      <c r="H3422" s="14"/>
      <c r="I3422" s="14"/>
      <c r="J3422" s="14"/>
      <c r="K3422" s="14"/>
      <c r="L3422" s="14"/>
      <c r="M3422" s="14"/>
    </row>
    <row r="3423" spans="1:13" ht="12.75">
      <c r="A3423" s="14"/>
      <c r="B3423" s="14"/>
      <c r="C3423" s="14"/>
      <c r="D3423" s="14"/>
      <c r="E3423" s="14"/>
      <c r="F3423" s="14"/>
      <c r="G3423" s="14"/>
      <c r="H3423" s="14"/>
      <c r="I3423" s="14"/>
      <c r="J3423" s="14"/>
      <c r="K3423" s="14"/>
      <c r="L3423" s="14"/>
      <c r="M3423" s="14"/>
    </row>
    <row r="3424" spans="1:13" ht="12.75">
      <c r="A3424" s="14"/>
      <c r="B3424" s="14"/>
      <c r="C3424" s="14"/>
      <c r="D3424" s="14"/>
      <c r="E3424" s="14"/>
      <c r="F3424" s="14"/>
      <c r="G3424" s="14"/>
      <c r="H3424" s="14"/>
      <c r="I3424" s="14"/>
      <c r="J3424" s="14"/>
      <c r="K3424" s="14"/>
      <c r="L3424" s="14"/>
      <c r="M3424" s="14"/>
    </row>
    <row r="3425" spans="1:13" ht="12.75">
      <c r="A3425" s="14"/>
      <c r="B3425" s="14"/>
      <c r="C3425" s="14"/>
      <c r="D3425" s="14"/>
      <c r="E3425" s="14"/>
      <c r="F3425" s="14"/>
      <c r="G3425" s="14"/>
      <c r="H3425" s="14"/>
      <c r="I3425" s="14"/>
      <c r="J3425" s="14"/>
      <c r="K3425" s="14"/>
      <c r="L3425" s="14"/>
      <c r="M3425" s="14"/>
    </row>
    <row r="3426" spans="1:13" ht="12.75">
      <c r="A3426" s="14"/>
      <c r="B3426" s="14"/>
      <c r="C3426" s="14"/>
      <c r="D3426" s="14"/>
      <c r="E3426" s="14"/>
      <c r="F3426" s="14"/>
      <c r="G3426" s="14"/>
      <c r="H3426" s="14"/>
      <c r="I3426" s="14"/>
      <c r="J3426" s="14"/>
      <c r="K3426" s="14"/>
      <c r="L3426" s="14"/>
      <c r="M3426" s="14"/>
    </row>
    <row r="3427" spans="1:13" ht="12.75">
      <c r="A3427" s="14"/>
      <c r="B3427" s="14"/>
      <c r="C3427" s="14"/>
      <c r="D3427" s="14"/>
      <c r="E3427" s="14"/>
      <c r="F3427" s="14"/>
      <c r="G3427" s="14"/>
      <c r="H3427" s="14"/>
      <c r="I3427" s="14"/>
      <c r="J3427" s="14"/>
      <c r="K3427" s="14"/>
      <c r="L3427" s="14"/>
      <c r="M3427" s="14"/>
    </row>
    <row r="3428" spans="1:13" ht="12.75">
      <c r="A3428" s="14"/>
      <c r="B3428" s="14"/>
      <c r="C3428" s="14"/>
      <c r="D3428" s="14"/>
      <c r="E3428" s="14"/>
      <c r="F3428" s="14"/>
      <c r="G3428" s="14"/>
      <c r="H3428" s="14"/>
      <c r="I3428" s="14"/>
      <c r="J3428" s="14"/>
      <c r="K3428" s="14"/>
      <c r="L3428" s="14"/>
      <c r="M3428" s="14"/>
    </row>
    <row r="3429" spans="1:13" ht="12.75">
      <c r="A3429" s="14"/>
      <c r="B3429" s="14"/>
      <c r="C3429" s="14"/>
      <c r="D3429" s="14"/>
      <c r="E3429" s="14"/>
      <c r="F3429" s="14"/>
      <c r="G3429" s="14"/>
      <c r="H3429" s="14"/>
      <c r="I3429" s="14"/>
      <c r="J3429" s="14"/>
      <c r="K3429" s="14"/>
      <c r="L3429" s="14"/>
      <c r="M3429" s="14"/>
    </row>
    <row r="3430" spans="1:13" ht="12.75">
      <c r="A3430" s="14"/>
      <c r="B3430" s="14"/>
      <c r="C3430" s="14"/>
      <c r="D3430" s="14"/>
      <c r="E3430" s="14"/>
      <c r="F3430" s="14"/>
      <c r="G3430" s="14"/>
      <c r="H3430" s="14"/>
      <c r="I3430" s="14"/>
      <c r="J3430" s="14"/>
      <c r="K3430" s="14"/>
      <c r="L3430" s="14"/>
      <c r="M3430" s="14"/>
    </row>
    <row r="3431" spans="1:13" ht="12.75">
      <c r="A3431" s="14"/>
      <c r="B3431" s="14"/>
      <c r="C3431" s="14"/>
      <c r="D3431" s="14"/>
      <c r="E3431" s="14"/>
      <c r="F3431" s="14"/>
      <c r="G3431" s="14"/>
      <c r="H3431" s="14"/>
      <c r="I3431" s="14"/>
      <c r="J3431" s="14"/>
      <c r="K3431" s="14"/>
      <c r="L3431" s="14"/>
      <c r="M3431" s="14"/>
    </row>
    <row r="3432" spans="1:13" ht="12.75">
      <c r="A3432" s="14"/>
      <c r="B3432" s="14"/>
      <c r="C3432" s="14"/>
      <c r="D3432" s="14"/>
      <c r="E3432" s="14"/>
      <c r="F3432" s="14"/>
      <c r="G3432" s="14"/>
      <c r="H3432" s="14"/>
      <c r="I3432" s="14"/>
      <c r="J3432" s="14"/>
      <c r="K3432" s="14"/>
      <c r="L3432" s="14"/>
      <c r="M3432" s="14"/>
    </row>
    <row r="3433" spans="1:13" ht="12.75">
      <c r="A3433" s="14"/>
      <c r="B3433" s="14"/>
      <c r="C3433" s="14"/>
      <c r="D3433" s="14"/>
      <c r="E3433" s="14"/>
      <c r="F3433" s="14"/>
      <c r="G3433" s="14"/>
      <c r="H3433" s="14"/>
      <c r="I3433" s="14"/>
      <c r="J3433" s="14"/>
      <c r="K3433" s="14"/>
      <c r="L3433" s="14"/>
      <c r="M3433" s="14"/>
    </row>
    <row r="3434" spans="1:13" ht="12.75">
      <c r="A3434" s="14"/>
      <c r="B3434" s="14"/>
      <c r="C3434" s="14"/>
      <c r="D3434" s="14"/>
      <c r="E3434" s="14"/>
      <c r="F3434" s="14"/>
      <c r="G3434" s="14"/>
      <c r="H3434" s="14"/>
      <c r="I3434" s="14"/>
      <c r="J3434" s="14"/>
      <c r="K3434" s="14"/>
      <c r="L3434" s="14"/>
      <c r="M3434" s="14"/>
    </row>
    <row r="3435" spans="1:13" ht="12.75">
      <c r="A3435" s="14"/>
      <c r="B3435" s="14"/>
      <c r="C3435" s="14"/>
      <c r="D3435" s="14"/>
      <c r="E3435" s="14"/>
      <c r="F3435" s="14"/>
      <c r="G3435" s="14"/>
      <c r="H3435" s="14"/>
      <c r="I3435" s="14"/>
      <c r="J3435" s="14"/>
      <c r="K3435" s="14"/>
      <c r="L3435" s="14"/>
      <c r="M3435" s="14"/>
    </row>
    <row r="3436" spans="1:13" ht="12.75">
      <c r="A3436" s="14"/>
      <c r="B3436" s="14"/>
      <c r="C3436" s="14"/>
      <c r="D3436" s="14"/>
      <c r="E3436" s="14"/>
      <c r="F3436" s="14"/>
      <c r="G3436" s="14"/>
      <c r="H3436" s="14"/>
      <c r="I3436" s="14"/>
      <c r="J3436" s="14"/>
      <c r="K3436" s="14"/>
      <c r="L3436" s="14"/>
      <c r="M3436" s="14"/>
    </row>
    <row r="3437" spans="1:13" ht="12.75">
      <c r="A3437" s="14"/>
      <c r="B3437" s="14"/>
      <c r="C3437" s="14"/>
      <c r="D3437" s="14"/>
      <c r="E3437" s="14"/>
      <c r="F3437" s="14"/>
      <c r="G3437" s="14"/>
      <c r="H3437" s="14"/>
      <c r="I3437" s="14"/>
      <c r="J3437" s="14"/>
      <c r="K3437" s="14"/>
      <c r="L3437" s="14"/>
      <c r="M3437" s="14"/>
    </row>
    <row r="3438" spans="1:13" ht="12.75" hidden="1">
      <c r="A3438" s="14"/>
      <c r="B3438" s="14"/>
      <c r="C3438" s="14"/>
      <c r="D3438" s="14"/>
      <c r="E3438" s="14"/>
      <c r="F3438" s="14"/>
      <c r="G3438" s="14"/>
      <c r="H3438" s="14"/>
      <c r="I3438" s="14"/>
      <c r="J3438" s="14"/>
      <c r="K3438" s="14"/>
      <c r="L3438" s="14"/>
      <c r="M3438" s="14"/>
    </row>
    <row r="3439" spans="1:13" ht="12.75" hidden="1">
      <c r="A3439" s="14"/>
      <c r="B3439" s="14"/>
      <c r="C3439" s="14"/>
      <c r="D3439" s="14"/>
      <c r="E3439" s="14"/>
      <c r="F3439" s="14"/>
      <c r="G3439" s="14"/>
      <c r="H3439" s="14"/>
      <c r="I3439" s="14"/>
      <c r="J3439" s="14"/>
      <c r="K3439" s="14"/>
      <c r="L3439" s="14"/>
      <c r="M3439" s="14"/>
    </row>
    <row r="3440" spans="1:13" ht="12.75">
      <c r="A3440" s="31" t="s">
        <v>21</v>
      </c>
      <c r="B3440" s="31"/>
      <c r="C3440" s="14"/>
      <c r="D3440" s="14"/>
      <c r="E3440" s="14"/>
      <c r="F3440" s="14"/>
      <c r="G3440" s="14"/>
      <c r="H3440" s="14"/>
      <c r="I3440" s="14"/>
      <c r="J3440" s="14"/>
      <c r="K3440" s="14"/>
      <c r="L3440" s="14"/>
      <c r="M3440" s="14"/>
    </row>
    <row r="3441" spans="1:13" ht="12.75">
      <c r="A3441" s="14" t="s">
        <v>31</v>
      </c>
      <c r="B3441" s="14"/>
      <c r="C3441" s="14"/>
      <c r="D3441" s="14"/>
      <c r="E3441" s="14"/>
      <c r="F3441" s="14"/>
      <c r="G3441" s="14"/>
      <c r="H3441" s="14"/>
      <c r="I3441" s="14"/>
      <c r="J3441" s="14"/>
      <c r="K3441" s="14"/>
      <c r="L3441" s="14"/>
      <c r="M3441" s="14"/>
    </row>
    <row r="3442" spans="1:13" ht="12.75">
      <c r="A3442" s="14" t="s">
        <v>41</v>
      </c>
      <c r="B3442" s="14"/>
      <c r="C3442" s="14"/>
      <c r="D3442" s="14"/>
      <c r="E3442" s="14"/>
      <c r="F3442" s="14"/>
      <c r="G3442" s="14"/>
      <c r="H3442" s="14"/>
      <c r="I3442" s="14"/>
      <c r="J3442" s="14"/>
      <c r="K3442" s="14"/>
      <c r="L3442" s="14"/>
      <c r="M3442" s="14"/>
    </row>
    <row r="3443" spans="1:13" ht="12.75">
      <c r="A3443" s="14" t="s">
        <v>87</v>
      </c>
      <c r="B3443" s="14"/>
      <c r="C3443" s="14"/>
      <c r="D3443" s="14"/>
      <c r="E3443" s="14" t="s">
        <v>32</v>
      </c>
      <c r="F3443" s="14"/>
      <c r="G3443" s="14"/>
      <c r="H3443" s="14"/>
      <c r="I3443" s="14"/>
      <c r="J3443" s="14"/>
      <c r="K3443" s="14"/>
      <c r="L3443" s="14"/>
      <c r="M3443" s="14"/>
    </row>
    <row r="3444" spans="1:13" ht="12.75" customHeight="1">
      <c r="A3444" s="6" t="s">
        <v>0</v>
      </c>
      <c r="B3444" s="151" t="s">
        <v>38</v>
      </c>
      <c r="C3444" s="152"/>
      <c r="D3444" s="149" t="s">
        <v>39</v>
      </c>
      <c r="E3444" s="150"/>
      <c r="F3444" s="149" t="s">
        <v>96</v>
      </c>
      <c r="G3444" s="150"/>
      <c r="H3444" s="149" t="s">
        <v>97</v>
      </c>
      <c r="I3444" s="150"/>
      <c r="J3444" s="149" t="s">
        <v>98</v>
      </c>
      <c r="K3444" s="150"/>
      <c r="L3444" s="149" t="s">
        <v>99</v>
      </c>
      <c r="M3444" s="150"/>
    </row>
    <row r="3445" spans="1:13" ht="12.75">
      <c r="A3445" s="11" t="s">
        <v>5</v>
      </c>
      <c r="B3445" s="153"/>
      <c r="C3445" s="154"/>
      <c r="D3445" s="6" t="s">
        <v>40</v>
      </c>
      <c r="E3445" s="6" t="s">
        <v>22</v>
      </c>
      <c r="F3445" s="6" t="s">
        <v>40</v>
      </c>
      <c r="G3445" s="13" t="s">
        <v>22</v>
      </c>
      <c r="H3445" s="2"/>
      <c r="I3445" s="2"/>
      <c r="J3445" s="2"/>
      <c r="K3445" s="2"/>
      <c r="L3445" s="2"/>
      <c r="M3445" s="2"/>
    </row>
    <row r="3446" spans="1:13" ht="12.75">
      <c r="A3446" s="2" t="s">
        <v>1</v>
      </c>
      <c r="B3446" s="2"/>
      <c r="C3446" s="6">
        <v>5</v>
      </c>
      <c r="D3446" s="2"/>
      <c r="E3446" s="2"/>
      <c r="F3446" s="2"/>
      <c r="G3446" s="2"/>
      <c r="H3446" s="2"/>
      <c r="I3446" s="2"/>
      <c r="J3446" s="2"/>
      <c r="K3446" s="2"/>
      <c r="L3446" s="2"/>
      <c r="M3446" s="2"/>
    </row>
    <row r="3447" spans="1:13" ht="12.75">
      <c r="A3447" s="2" t="s">
        <v>2</v>
      </c>
      <c r="B3447" s="2"/>
      <c r="C3447" s="6">
        <v>3</v>
      </c>
      <c r="D3447" s="2"/>
      <c r="E3447" s="2"/>
      <c r="F3447" s="2"/>
      <c r="G3447" s="2"/>
      <c r="H3447" s="2"/>
      <c r="I3447" s="2"/>
      <c r="J3447" s="2"/>
      <c r="K3447" s="2"/>
      <c r="L3447" s="2"/>
      <c r="M3447" s="2"/>
    </row>
    <row r="3448" spans="1:13" ht="12.75">
      <c r="A3448" s="2" t="s">
        <v>3</v>
      </c>
      <c r="B3448" s="2"/>
      <c r="C3448" s="6">
        <v>60</v>
      </c>
      <c r="D3448" s="2"/>
      <c r="E3448" s="2"/>
      <c r="F3448" s="2"/>
      <c r="G3448" s="2"/>
      <c r="H3448" s="2"/>
      <c r="I3448" s="2"/>
      <c r="J3448" s="2"/>
      <c r="K3448" s="2"/>
      <c r="L3448" s="2"/>
      <c r="M3448" s="2"/>
    </row>
    <row r="3449" spans="1:13" ht="12.75">
      <c r="A3449" s="2" t="s">
        <v>4</v>
      </c>
      <c r="B3449" s="6"/>
      <c r="C3449" s="6">
        <v>1806.1</v>
      </c>
      <c r="D3449" s="6"/>
      <c r="E3449" s="6"/>
      <c r="F3449" s="6"/>
      <c r="G3449" s="2"/>
      <c r="H3449" s="2"/>
      <c r="I3449" s="2"/>
      <c r="J3449" s="2"/>
      <c r="K3449" s="2"/>
      <c r="L3449" s="2"/>
      <c r="M3449" s="2"/>
    </row>
    <row r="3450" spans="1:13" ht="21.75">
      <c r="A3450" s="35" t="s">
        <v>6</v>
      </c>
      <c r="B3450" s="11" t="s">
        <v>40</v>
      </c>
      <c r="C3450" s="2" t="s">
        <v>22</v>
      </c>
      <c r="D3450" s="2"/>
      <c r="E3450" s="2"/>
      <c r="F3450" s="2"/>
      <c r="G3450" s="2"/>
      <c r="H3450" s="2"/>
      <c r="I3450" s="2"/>
      <c r="J3450" s="2"/>
      <c r="K3450" s="2"/>
      <c r="L3450" s="2"/>
      <c r="M3450" s="2"/>
    </row>
    <row r="3451" spans="1:13" ht="22.5">
      <c r="A3451" s="40" t="s">
        <v>7</v>
      </c>
      <c r="B3451" s="3"/>
      <c r="C3451" s="6"/>
      <c r="D3451" s="6"/>
      <c r="E3451" s="6">
        <f>G3451+I3451+K3451+M3451</f>
        <v>194342.63999999998</v>
      </c>
      <c r="F3451" s="2"/>
      <c r="G3451" s="2">
        <v>40266.31</v>
      </c>
      <c r="H3451" s="2"/>
      <c r="I3451" s="2">
        <v>48303.37</v>
      </c>
      <c r="J3451" s="2"/>
      <c r="K3451" s="2">
        <v>55772.69</v>
      </c>
      <c r="L3451" s="2"/>
      <c r="M3451" s="2">
        <v>50000.27</v>
      </c>
    </row>
    <row r="3452" spans="1:13" ht="12.75">
      <c r="A3452" s="41" t="s">
        <v>8</v>
      </c>
      <c r="B3452" s="3"/>
      <c r="C3452" s="6"/>
      <c r="D3452" s="6"/>
      <c r="F3452" s="2"/>
      <c r="G3452" s="2"/>
      <c r="H3452" s="2"/>
      <c r="I3452" s="2"/>
      <c r="J3452" s="2"/>
      <c r="K3452" s="2"/>
      <c r="L3452" s="2"/>
      <c r="M3452" s="2"/>
    </row>
    <row r="3453" spans="1:13" ht="12.75">
      <c r="A3453" s="41" t="s">
        <v>9</v>
      </c>
      <c r="B3453" s="3"/>
      <c r="C3453" s="6"/>
      <c r="D3453" s="6"/>
      <c r="E3453" s="6"/>
      <c r="F3453" s="2"/>
      <c r="G3453" s="2"/>
      <c r="H3453" s="2"/>
      <c r="I3453" s="2"/>
      <c r="J3453" s="2"/>
      <c r="K3453" s="2"/>
      <c r="L3453" s="2"/>
      <c r="M3453" s="2"/>
    </row>
    <row r="3454" spans="1:13" ht="12.75">
      <c r="A3454" s="2" t="s">
        <v>10</v>
      </c>
      <c r="B3454" s="42"/>
      <c r="C3454" s="11"/>
      <c r="D3454" s="11"/>
      <c r="E3454" s="11">
        <f>SUM(E3451:E3453)</f>
        <v>194342.63999999998</v>
      </c>
      <c r="F3454" s="37"/>
      <c r="G3454" s="37">
        <f>SUM(G3451:G3453)</f>
        <v>40266.31</v>
      </c>
      <c r="H3454" s="2"/>
      <c r="I3454" s="2">
        <f>SUM(I3451:I3453)</f>
        <v>48303.37</v>
      </c>
      <c r="J3454" s="2"/>
      <c r="K3454" s="2">
        <f>SUM(K3451:K3453)</f>
        <v>55772.69</v>
      </c>
      <c r="L3454" s="2"/>
      <c r="M3454" s="2">
        <f>SUM(M3451:M3453)</f>
        <v>50000.27</v>
      </c>
    </row>
    <row r="3455" spans="1:13" ht="21.75">
      <c r="A3455" s="35" t="s">
        <v>82</v>
      </c>
      <c r="B3455" s="42"/>
      <c r="C3455" s="2"/>
      <c r="D3455" s="2"/>
      <c r="E3455" s="2"/>
      <c r="F3455" s="2"/>
      <c r="G3455" s="2"/>
      <c r="H3455" s="2"/>
      <c r="I3455" s="2"/>
      <c r="J3455" s="2"/>
      <c r="K3455" s="2"/>
      <c r="L3455" s="2"/>
      <c r="M3455" s="2"/>
    </row>
    <row r="3456" spans="1:13" ht="12.75">
      <c r="A3456" s="43" t="s">
        <v>11</v>
      </c>
      <c r="B3456" s="44"/>
      <c r="C3456" s="45"/>
      <c r="D3456" s="45"/>
      <c r="E3456" s="45">
        <f aca="true" t="shared" si="59" ref="E3456:E3466">G3456+I3456+K3456+M3456</f>
        <v>58915.16261</v>
      </c>
      <c r="F3456" s="45"/>
      <c r="G3456" s="45">
        <f>7.99407*C3449</f>
        <v>14438.089827</v>
      </c>
      <c r="H3456" s="2"/>
      <c r="I3456" s="7">
        <f>9.57707*C3449</f>
        <v>17297.146127</v>
      </c>
      <c r="J3456" s="2"/>
      <c r="K3456" s="7">
        <f>7.32829*C3449</f>
        <v>13235.624569</v>
      </c>
      <c r="L3456" s="2"/>
      <c r="M3456" s="7">
        <f>7.72067*C3449</f>
        <v>13944.302087</v>
      </c>
    </row>
    <row r="3457" spans="1:13" ht="12.75">
      <c r="A3457" s="43" t="s">
        <v>12</v>
      </c>
      <c r="B3457" s="46"/>
      <c r="C3457" s="7"/>
      <c r="D3457" s="7"/>
      <c r="E3457" s="7">
        <f t="shared" si="59"/>
        <v>0</v>
      </c>
      <c r="F3457" s="7"/>
      <c r="G3457" s="7"/>
      <c r="H3457" s="2"/>
      <c r="I3457" s="7"/>
      <c r="J3457" s="2"/>
      <c r="K3457" s="7"/>
      <c r="L3457" s="2"/>
      <c r="M3457" s="7"/>
    </row>
    <row r="3458" spans="1:13" ht="12.75">
      <c r="A3458" s="41" t="s">
        <v>13</v>
      </c>
      <c r="B3458" s="46"/>
      <c r="C3458" s="7"/>
      <c r="D3458" s="7"/>
      <c r="E3458" s="7">
        <f t="shared" si="59"/>
        <v>88931.747255</v>
      </c>
      <c r="F3458" s="7"/>
      <c r="G3458" s="7">
        <f>G3459+G3461+G3462+G3463+G3464+G3465+G3466+G3487+G3468+G3469+G3470</f>
        <v>21617.741837</v>
      </c>
      <c r="H3458" s="2"/>
      <c r="I3458" s="7">
        <f>I3459+I3461+I3462+I3463+I3464+I3465+I3466+I3487+I3468+I3469+I3470</f>
        <v>23800.632729</v>
      </c>
      <c r="J3458" s="2"/>
      <c r="K3458" s="7">
        <f>K3459+K3461+K3462+K3465+K3470</f>
        <v>23292.994788999997</v>
      </c>
      <c r="L3458" s="2"/>
      <c r="M3458" s="7">
        <f>M3459+M3461+M3462+M3463+M3464+M3465+M3466+M3467+M3468+M3469+M3470</f>
        <v>20220.377899999996</v>
      </c>
    </row>
    <row r="3459" spans="1:13" ht="12.75">
      <c r="A3459" s="47" t="s">
        <v>14</v>
      </c>
      <c r="B3459" s="46"/>
      <c r="C3459" s="71"/>
      <c r="D3459" s="7"/>
      <c r="E3459" s="7">
        <f t="shared" si="59"/>
        <v>79717</v>
      </c>
      <c r="F3459" s="7"/>
      <c r="G3459" s="7">
        <v>20505</v>
      </c>
      <c r="H3459" s="2"/>
      <c r="I3459" s="7">
        <v>19971</v>
      </c>
      <c r="J3459" s="2"/>
      <c r="K3459" s="7">
        <v>20756</v>
      </c>
      <c r="L3459" s="2"/>
      <c r="M3459" s="7">
        <v>18485</v>
      </c>
    </row>
    <row r="3460" spans="1:13" ht="12.75">
      <c r="A3460" s="41" t="s">
        <v>19</v>
      </c>
      <c r="B3460" s="46"/>
      <c r="C3460" s="71"/>
      <c r="D3460" s="7"/>
      <c r="E3460" s="7">
        <f t="shared" si="59"/>
        <v>57902</v>
      </c>
      <c r="F3460" s="7"/>
      <c r="G3460" s="7">
        <v>14483</v>
      </c>
      <c r="H3460" s="2"/>
      <c r="I3460" s="7">
        <v>14483</v>
      </c>
      <c r="J3460" s="2"/>
      <c r="K3460" s="7">
        <v>14468</v>
      </c>
      <c r="L3460" s="2"/>
      <c r="M3460" s="7">
        <v>14468</v>
      </c>
    </row>
    <row r="3461" spans="1:13" ht="12.75">
      <c r="A3461" s="41" t="s">
        <v>18</v>
      </c>
      <c r="B3461" s="46"/>
      <c r="C3461" s="7"/>
      <c r="D3461" s="7"/>
      <c r="E3461" s="7">
        <f t="shared" si="59"/>
        <v>684.56</v>
      </c>
      <c r="F3461" s="7"/>
      <c r="G3461" s="7">
        <v>86.57</v>
      </c>
      <c r="H3461" s="2"/>
      <c r="I3461" s="7">
        <v>156.52</v>
      </c>
      <c r="J3461" s="2"/>
      <c r="K3461" s="7">
        <v>211.94</v>
      </c>
      <c r="L3461" s="2"/>
      <c r="M3461" s="7">
        <v>229.53</v>
      </c>
    </row>
    <row r="3462" spans="1:13" ht="12.75">
      <c r="A3462" s="41" t="s">
        <v>53</v>
      </c>
      <c r="B3462" s="46"/>
      <c r="C3462" s="7"/>
      <c r="D3462" s="7"/>
      <c r="E3462" s="7">
        <f t="shared" si="59"/>
        <v>3475.026705</v>
      </c>
      <c r="F3462" s="7"/>
      <c r="G3462" s="7">
        <f>0.54857*C3449</f>
        <v>990.7722769999999</v>
      </c>
      <c r="H3462" s="2"/>
      <c r="I3462" s="7">
        <f>0.53049*C3449</f>
        <v>958.117989</v>
      </c>
      <c r="J3462" s="2"/>
      <c r="K3462" s="7">
        <f>0.60599*C3449</f>
        <v>1094.478539</v>
      </c>
      <c r="L3462" s="2"/>
      <c r="M3462" s="7">
        <f>0.239*C3449</f>
        <v>431.6579</v>
      </c>
    </row>
    <row r="3463" spans="1:13" ht="12.75">
      <c r="A3463" s="41" t="s">
        <v>148</v>
      </c>
      <c r="B3463" s="46"/>
      <c r="C3463" s="7"/>
      <c r="D3463" s="7"/>
      <c r="E3463" s="7">
        <f t="shared" si="59"/>
        <v>0</v>
      </c>
      <c r="F3463" s="7"/>
      <c r="G3463" s="7"/>
      <c r="H3463" s="2"/>
      <c r="I3463" s="7"/>
      <c r="J3463" s="2"/>
      <c r="K3463" s="7"/>
      <c r="L3463" s="2"/>
      <c r="M3463" s="7"/>
    </row>
    <row r="3464" spans="1:13" ht="12.75">
      <c r="A3464" s="41" t="s">
        <v>27</v>
      </c>
      <c r="B3464" s="46"/>
      <c r="C3464" s="7"/>
      <c r="D3464" s="7"/>
      <c r="E3464" s="7">
        <f t="shared" si="59"/>
        <v>135.27688999999998</v>
      </c>
      <c r="F3464" s="7"/>
      <c r="G3464" s="7"/>
      <c r="H3464" s="2"/>
      <c r="I3464" s="7">
        <f>0.0749*C3449</f>
        <v>135.27688999999998</v>
      </c>
      <c r="J3464" s="2"/>
      <c r="K3464" s="7"/>
      <c r="L3464" s="2"/>
      <c r="M3464" s="7"/>
    </row>
    <row r="3465" spans="1:13" ht="12.75">
      <c r="A3465" s="41" t="s">
        <v>36</v>
      </c>
      <c r="B3465" s="46"/>
      <c r="C3465" s="7"/>
      <c r="D3465" s="7"/>
      <c r="E3465" s="7">
        <f t="shared" si="59"/>
        <v>4738.1900000000005</v>
      </c>
      <c r="F3465" s="7"/>
      <c r="G3465" s="7"/>
      <c r="H3465" s="2" t="s">
        <v>282</v>
      </c>
      <c r="I3465" s="7">
        <v>2456</v>
      </c>
      <c r="J3465" s="2" t="s">
        <v>374</v>
      </c>
      <c r="K3465" s="7">
        <v>1208</v>
      </c>
      <c r="L3465" s="2" t="s">
        <v>372</v>
      </c>
      <c r="M3465" s="7">
        <v>1074.19</v>
      </c>
    </row>
    <row r="3466" spans="1:13" ht="12.75">
      <c r="A3466" s="41" t="s">
        <v>58</v>
      </c>
      <c r="B3466" s="46"/>
      <c r="C3466" s="7"/>
      <c r="D3466" s="7"/>
      <c r="E3466" s="7">
        <f t="shared" si="59"/>
        <v>0</v>
      </c>
      <c r="F3466" s="7"/>
      <c r="G3466" s="7"/>
      <c r="H3466" s="2"/>
      <c r="I3466" s="7"/>
      <c r="J3466" s="2"/>
      <c r="K3466" s="7"/>
      <c r="L3466" s="2"/>
      <c r="M3466" s="7"/>
    </row>
    <row r="3467" ht="12.75">
      <c r="M3467" s="132"/>
    </row>
    <row r="3468" spans="1:13" ht="12.75">
      <c r="A3468" s="41" t="s">
        <v>30</v>
      </c>
      <c r="B3468" s="46"/>
      <c r="C3468" s="7"/>
      <c r="D3468" s="7"/>
      <c r="E3468" s="7">
        <f aca="true" t="shared" si="60" ref="E3468:E3473">G3468+I3468+K3468+M3468</f>
        <v>0</v>
      </c>
      <c r="F3468" s="7"/>
      <c r="G3468" s="7"/>
      <c r="H3468" s="2"/>
      <c r="I3468" s="7"/>
      <c r="J3468" s="2"/>
      <c r="K3468" s="7"/>
      <c r="L3468" s="2"/>
      <c r="M3468" s="7"/>
    </row>
    <row r="3469" spans="1:13" ht="12.75">
      <c r="A3469" s="41" t="s">
        <v>54</v>
      </c>
      <c r="B3469" s="46"/>
      <c r="C3469" s="7"/>
      <c r="D3469" s="7"/>
      <c r="E3469" s="7">
        <f t="shared" si="60"/>
        <v>35.399559999999994</v>
      </c>
      <c r="F3469" s="7"/>
      <c r="G3469" s="7">
        <f>0.0196*C3449</f>
        <v>35.399559999999994</v>
      </c>
      <c r="H3469" s="2"/>
      <c r="I3469" s="7"/>
      <c r="J3469" s="2"/>
      <c r="K3469" s="7"/>
      <c r="L3469" s="2"/>
      <c r="M3469" s="7"/>
    </row>
    <row r="3470" spans="1:13" ht="13.5" thickBot="1">
      <c r="A3470" s="48" t="s">
        <v>55</v>
      </c>
      <c r="B3470" s="49"/>
      <c r="C3470" s="50"/>
      <c r="D3470" s="50"/>
      <c r="E3470" s="50">
        <f t="shared" si="60"/>
        <v>146.29410000000001</v>
      </c>
      <c r="F3470" s="50"/>
      <c r="G3470" s="50"/>
      <c r="H3470" s="22"/>
      <c r="I3470" s="50">
        <f>0.0685*C3449</f>
        <v>123.71785</v>
      </c>
      <c r="J3470" s="22"/>
      <c r="K3470" s="50">
        <f>0.0125*C3449</f>
        <v>22.57625</v>
      </c>
      <c r="L3470" s="22"/>
      <c r="M3470" s="50"/>
    </row>
    <row r="3471" spans="1:13" ht="13.5" thickBot="1">
      <c r="A3471" s="51" t="s">
        <v>76</v>
      </c>
      <c r="B3471" s="81"/>
      <c r="C3471" s="63"/>
      <c r="D3471" s="63"/>
      <c r="E3471" s="63">
        <f t="shared" si="60"/>
        <v>147846.909865</v>
      </c>
      <c r="F3471" s="63"/>
      <c r="G3471" s="63">
        <f>G3456+G3458</f>
        <v>36055.831664</v>
      </c>
      <c r="H3471" s="26"/>
      <c r="I3471" s="63">
        <f>I3456+I3458</f>
        <v>41097.778856000004</v>
      </c>
      <c r="J3471" s="26"/>
      <c r="K3471" s="63">
        <f>K3456+K3458</f>
        <v>36528.619357999996</v>
      </c>
      <c r="L3471" s="26"/>
      <c r="M3471" s="29">
        <f>M3456+M3458</f>
        <v>34164.679986999996</v>
      </c>
    </row>
    <row r="3472" spans="1:13" ht="13.5" customHeight="1">
      <c r="A3472" s="54" t="s">
        <v>15</v>
      </c>
      <c r="B3472" s="55"/>
      <c r="C3472" s="66"/>
      <c r="D3472" s="66"/>
      <c r="E3472" s="56">
        <f t="shared" si="60"/>
        <v>0</v>
      </c>
      <c r="F3472" s="66"/>
      <c r="G3472" s="56"/>
      <c r="H3472" s="74"/>
      <c r="I3472" s="56"/>
      <c r="J3472" s="74"/>
      <c r="K3472" s="56"/>
      <c r="L3472" s="74"/>
      <c r="M3472" s="56"/>
    </row>
    <row r="3473" spans="1:13" ht="12.75">
      <c r="A3473" s="41" t="s">
        <v>17</v>
      </c>
      <c r="B3473" s="46"/>
      <c r="C3473" s="7"/>
      <c r="D3473" s="7"/>
      <c r="E3473" s="7">
        <f t="shared" si="60"/>
        <v>51061.174211</v>
      </c>
      <c r="F3473" s="7"/>
      <c r="G3473" s="7">
        <f>6.73321*C3449</f>
        <v>12160.850580999999</v>
      </c>
      <c r="H3473" s="2"/>
      <c r="I3473" s="7">
        <f>7.02207*C3449</f>
        <v>12682.560626999999</v>
      </c>
      <c r="J3473" s="2"/>
      <c r="K3473" s="7">
        <f>7.2754*C3449</f>
        <v>13140.09994</v>
      </c>
      <c r="L3473" s="2"/>
      <c r="M3473" s="7">
        <f>7.24083*C3449</f>
        <v>13077.663063</v>
      </c>
    </row>
    <row r="3474" spans="1:13" ht="12.75">
      <c r="A3474" s="41" t="s">
        <v>34</v>
      </c>
      <c r="B3474" s="46"/>
      <c r="C3474" s="71"/>
      <c r="D3474" s="7"/>
      <c r="E3474" s="7">
        <f aca="true" t="shared" si="61" ref="E3474:E3493">G3474+I3474+K3474+M3474</f>
        <v>0</v>
      </c>
      <c r="F3474" s="7"/>
      <c r="G3474" s="7"/>
      <c r="H3474" s="2"/>
      <c r="I3474" s="7"/>
      <c r="J3474" s="2"/>
      <c r="K3474" s="7"/>
      <c r="L3474" s="2"/>
      <c r="M3474" s="7"/>
    </row>
    <row r="3475" spans="1:13" ht="12.75">
      <c r="A3475" s="41" t="s">
        <v>67</v>
      </c>
      <c r="B3475" s="46"/>
      <c r="C3475" s="7"/>
      <c r="D3475" s="7"/>
      <c r="E3475" s="7">
        <f t="shared" si="61"/>
        <v>2063.8</v>
      </c>
      <c r="F3475" s="7"/>
      <c r="G3475" s="7"/>
      <c r="H3475" s="2"/>
      <c r="I3475" s="7"/>
      <c r="J3475" s="2"/>
      <c r="K3475" s="7"/>
      <c r="L3475" s="2"/>
      <c r="M3475" s="7">
        <v>2063.8</v>
      </c>
    </row>
    <row r="3476" spans="1:13" ht="12.75">
      <c r="A3476" s="41" t="s">
        <v>68</v>
      </c>
      <c r="B3476" s="46"/>
      <c r="C3476" s="7"/>
      <c r="D3476" s="7"/>
      <c r="E3476" s="7">
        <f t="shared" si="61"/>
        <v>1140</v>
      </c>
      <c r="F3476" s="7"/>
      <c r="G3476" s="7">
        <v>600</v>
      </c>
      <c r="H3476" s="2"/>
      <c r="I3476" s="7">
        <v>540</v>
      </c>
      <c r="J3476" s="2"/>
      <c r="K3476" s="7"/>
      <c r="L3476" s="2"/>
      <c r="M3476" s="7"/>
    </row>
    <row r="3477" spans="1:13" ht="12.75">
      <c r="A3477" s="41" t="s">
        <v>69</v>
      </c>
      <c r="B3477" s="46"/>
      <c r="C3477" s="7"/>
      <c r="D3477" s="7"/>
      <c r="E3477" s="7">
        <f t="shared" si="61"/>
        <v>3761</v>
      </c>
      <c r="F3477" s="7"/>
      <c r="G3477" s="7"/>
      <c r="H3477" s="2"/>
      <c r="I3477" s="7">
        <v>3761</v>
      </c>
      <c r="J3477" s="2"/>
      <c r="K3477" s="7"/>
      <c r="L3477" s="2"/>
      <c r="M3477" s="7"/>
    </row>
    <row r="3478" spans="1:13" ht="12.75">
      <c r="A3478" s="41" t="s">
        <v>26</v>
      </c>
      <c r="B3478" s="46"/>
      <c r="C3478" s="7"/>
      <c r="D3478" s="7"/>
      <c r="E3478" s="7">
        <f t="shared" si="61"/>
        <v>6622</v>
      </c>
      <c r="F3478" s="7"/>
      <c r="G3478" s="7"/>
      <c r="H3478" s="2"/>
      <c r="I3478" s="7">
        <v>6327</v>
      </c>
      <c r="J3478" s="2"/>
      <c r="K3478" s="7"/>
      <c r="L3478" s="2"/>
      <c r="M3478" s="7">
        <v>295</v>
      </c>
    </row>
    <row r="3479" spans="1:13" ht="12.75">
      <c r="A3479" s="41" t="s">
        <v>28</v>
      </c>
      <c r="B3479" s="46"/>
      <c r="C3479" s="7"/>
      <c r="D3479" s="7"/>
      <c r="E3479" s="7">
        <f t="shared" si="61"/>
        <v>420</v>
      </c>
      <c r="F3479" s="7"/>
      <c r="G3479" s="7"/>
      <c r="H3479" s="2"/>
      <c r="I3479" s="7"/>
      <c r="J3479" s="2"/>
      <c r="K3479" s="7"/>
      <c r="L3479" s="2"/>
      <c r="M3479" s="7">
        <v>420</v>
      </c>
    </row>
    <row r="3480" spans="1:13" ht="12.75">
      <c r="A3480" s="41" t="s">
        <v>60</v>
      </c>
      <c r="B3480" s="46"/>
      <c r="C3480" s="7"/>
      <c r="D3480" s="7"/>
      <c r="E3480" s="7">
        <f t="shared" si="61"/>
        <v>0</v>
      </c>
      <c r="F3480" s="7"/>
      <c r="G3480" s="7"/>
      <c r="H3480" s="2"/>
      <c r="I3480" s="7"/>
      <c r="J3480" s="2"/>
      <c r="K3480" s="7"/>
      <c r="L3480" s="2"/>
      <c r="M3480" s="7"/>
    </row>
    <row r="3481" spans="1:13" ht="12.75">
      <c r="A3481" s="41" t="s">
        <v>150</v>
      </c>
      <c r="B3481" s="46"/>
      <c r="C3481" s="7"/>
      <c r="D3481" s="7"/>
      <c r="E3481" s="7">
        <f t="shared" si="61"/>
        <v>105</v>
      </c>
      <c r="F3481" s="7"/>
      <c r="G3481" s="7"/>
      <c r="H3481" s="2"/>
      <c r="I3481" s="7">
        <v>95</v>
      </c>
      <c r="J3481" s="2"/>
      <c r="K3481" s="7">
        <v>10</v>
      </c>
      <c r="L3481" s="2"/>
      <c r="M3481" s="7"/>
    </row>
    <row r="3482" spans="1:13" ht="12.75">
      <c r="A3482" s="41" t="s">
        <v>62</v>
      </c>
      <c r="B3482" s="46"/>
      <c r="C3482" s="7"/>
      <c r="D3482" s="7"/>
      <c r="E3482" s="7">
        <f t="shared" si="61"/>
        <v>0</v>
      </c>
      <c r="F3482" s="7"/>
      <c r="G3482" s="7"/>
      <c r="H3482" s="2"/>
      <c r="I3482" s="7"/>
      <c r="J3482" s="2"/>
      <c r="K3482" s="7"/>
      <c r="L3482" s="2"/>
      <c r="M3482" s="7"/>
    </row>
    <row r="3483" spans="1:13" ht="12.75">
      <c r="A3483" s="41" t="s">
        <v>63</v>
      </c>
      <c r="B3483" s="46"/>
      <c r="C3483" s="7"/>
      <c r="D3483" s="7"/>
      <c r="E3483" s="7">
        <f t="shared" si="61"/>
        <v>0</v>
      </c>
      <c r="F3483" s="7"/>
      <c r="G3483" s="7"/>
      <c r="H3483" s="2"/>
      <c r="I3483" s="7"/>
      <c r="J3483" s="2"/>
      <c r="K3483" s="7"/>
      <c r="L3483" s="2"/>
      <c r="M3483" s="7"/>
    </row>
    <row r="3484" spans="1:13" ht="12.75">
      <c r="A3484" s="41" t="s">
        <v>66</v>
      </c>
      <c r="B3484" s="46"/>
      <c r="C3484" s="7"/>
      <c r="D3484" s="7"/>
      <c r="E3484" s="7">
        <f t="shared" si="61"/>
        <v>0</v>
      </c>
      <c r="F3484" s="7"/>
      <c r="G3484" s="7"/>
      <c r="H3484" s="2"/>
      <c r="I3484" s="7"/>
      <c r="J3484" s="2"/>
      <c r="K3484" s="7"/>
      <c r="L3484" s="2"/>
      <c r="M3484" s="7"/>
    </row>
    <row r="3485" spans="1:13" ht="12.75">
      <c r="A3485" s="41" t="s">
        <v>51</v>
      </c>
      <c r="B3485" s="46"/>
      <c r="C3485" s="7"/>
      <c r="D3485" s="7"/>
      <c r="E3485" s="7">
        <f t="shared" si="61"/>
        <v>2543.08</v>
      </c>
      <c r="F3485" s="7"/>
      <c r="G3485" s="7"/>
      <c r="H3485" s="2"/>
      <c r="I3485" s="7">
        <v>2543.08</v>
      </c>
      <c r="J3485" s="2"/>
      <c r="K3485" s="7"/>
      <c r="L3485" s="2"/>
      <c r="M3485" s="7"/>
    </row>
    <row r="3486" spans="1:13" ht="12.75">
      <c r="A3486" s="58" t="s">
        <v>52</v>
      </c>
      <c r="B3486" s="46"/>
      <c r="C3486" s="7"/>
      <c r="D3486" s="7"/>
      <c r="E3486" s="7">
        <f t="shared" si="61"/>
        <v>0</v>
      </c>
      <c r="F3486" s="7"/>
      <c r="G3486" s="7"/>
      <c r="H3486" s="2"/>
      <c r="I3486" s="7"/>
      <c r="J3486" s="2"/>
      <c r="K3486" s="7"/>
      <c r="L3486" s="2"/>
      <c r="M3486" s="7"/>
    </row>
    <row r="3487" spans="1:13" ht="12.75">
      <c r="A3487" s="41" t="s">
        <v>373</v>
      </c>
      <c r="B3487" s="46"/>
      <c r="C3487" s="7"/>
      <c r="D3487" s="7"/>
      <c r="E3487" s="7">
        <f t="shared" si="61"/>
        <v>18511</v>
      </c>
      <c r="F3487" s="7"/>
      <c r="G3487" s="7"/>
      <c r="H3487" s="2"/>
      <c r="I3487" s="7"/>
      <c r="J3487" s="2"/>
      <c r="K3487" s="7">
        <v>18511</v>
      </c>
      <c r="L3487" s="2"/>
      <c r="M3487" s="7"/>
    </row>
    <row r="3488" spans="1:13" ht="12.75">
      <c r="A3488" s="41" t="s">
        <v>281</v>
      </c>
      <c r="B3488" s="46"/>
      <c r="C3488" s="7"/>
      <c r="D3488" s="7"/>
      <c r="E3488" s="7">
        <f t="shared" si="61"/>
        <v>2568</v>
      </c>
      <c r="F3488" s="7"/>
      <c r="G3488" s="7"/>
      <c r="H3488" s="2"/>
      <c r="I3488" s="7">
        <v>765</v>
      </c>
      <c r="J3488" s="2"/>
      <c r="K3488" s="7">
        <v>1803</v>
      </c>
      <c r="L3488" s="2"/>
      <c r="M3488" s="7"/>
    </row>
    <row r="3489" spans="1:13" ht="12.75">
      <c r="A3489" s="41" t="s">
        <v>57</v>
      </c>
      <c r="B3489" s="46"/>
      <c r="C3489" s="7"/>
      <c r="D3489" s="7"/>
      <c r="E3489" s="7">
        <f t="shared" si="61"/>
        <v>4612.82331</v>
      </c>
      <c r="F3489" s="7" t="s">
        <v>175</v>
      </c>
      <c r="G3489" s="7">
        <v>4600</v>
      </c>
      <c r="H3489" s="2"/>
      <c r="I3489" s="7">
        <f>0.0071*C3449</f>
        <v>12.82331</v>
      </c>
      <c r="J3489" s="2"/>
      <c r="K3489" s="7"/>
      <c r="L3489" s="2"/>
      <c r="M3489" s="7"/>
    </row>
    <row r="3490" spans="1:13" ht="12.75">
      <c r="A3490" s="41" t="s">
        <v>33</v>
      </c>
      <c r="B3490" s="46"/>
      <c r="C3490" s="7"/>
      <c r="D3490" s="7"/>
      <c r="E3490" s="7">
        <f t="shared" si="61"/>
        <v>0</v>
      </c>
      <c r="F3490" s="15"/>
      <c r="G3490" s="7"/>
      <c r="H3490" s="2"/>
      <c r="I3490" s="7"/>
      <c r="J3490" s="2"/>
      <c r="K3490" s="7"/>
      <c r="L3490" s="2"/>
      <c r="M3490" s="7"/>
    </row>
    <row r="3491" spans="1:13" ht="12.75">
      <c r="A3491" s="41" t="s">
        <v>50</v>
      </c>
      <c r="B3491" s="46"/>
      <c r="C3491" s="7"/>
      <c r="D3491" s="7"/>
      <c r="E3491" s="7">
        <f t="shared" si="61"/>
        <v>932.3088199999999</v>
      </c>
      <c r="F3491" s="7"/>
      <c r="G3491" s="7">
        <f>0.2455*C3449</f>
        <v>443.39754999999997</v>
      </c>
      <c r="H3491" s="2"/>
      <c r="I3491" s="7"/>
      <c r="J3491" s="2"/>
      <c r="K3491" s="7">
        <f>0.1437*C3449</f>
        <v>259.53657</v>
      </c>
      <c r="L3491" s="2"/>
      <c r="M3491" s="7">
        <f>0.127*C3449</f>
        <v>229.3747</v>
      </c>
    </row>
    <row r="3492" spans="1:13" ht="12.75">
      <c r="A3492" s="41" t="s">
        <v>54</v>
      </c>
      <c r="B3492" s="46"/>
      <c r="C3492" s="7"/>
      <c r="D3492" s="7"/>
      <c r="E3492" s="7">
        <f t="shared" si="61"/>
        <v>1089.43952</v>
      </c>
      <c r="F3492" s="7"/>
      <c r="G3492" s="7"/>
      <c r="H3492" s="2"/>
      <c r="I3492" s="7">
        <f>0.5802*C3449</f>
        <v>1047.89922</v>
      </c>
      <c r="J3492" s="2"/>
      <c r="K3492" s="7">
        <f>0.011*C3449</f>
        <v>19.867099999999997</v>
      </c>
      <c r="L3492" s="2"/>
      <c r="M3492" s="7">
        <f>0.012*C3449</f>
        <v>21.673199999999998</v>
      </c>
    </row>
    <row r="3493" spans="1:13" ht="13.5" thickBot="1">
      <c r="A3493" s="48" t="s">
        <v>151</v>
      </c>
      <c r="B3493" s="49"/>
      <c r="C3493" s="50"/>
      <c r="D3493" s="50"/>
      <c r="E3493" s="7">
        <f t="shared" si="61"/>
        <v>3514.08758</v>
      </c>
      <c r="F3493" s="50"/>
      <c r="G3493" s="50">
        <v>3500</v>
      </c>
      <c r="H3493" s="22"/>
      <c r="I3493" s="50">
        <f>0.0078*C3449</f>
        <v>14.087579999999999</v>
      </c>
      <c r="J3493" s="22"/>
      <c r="K3493" s="50"/>
      <c r="L3493" s="22"/>
      <c r="M3493" s="50"/>
    </row>
    <row r="3494" spans="1:13" ht="13.5" thickBot="1">
      <c r="A3494" s="59" t="s">
        <v>10</v>
      </c>
      <c r="B3494" s="81"/>
      <c r="C3494" s="63"/>
      <c r="D3494" s="63"/>
      <c r="E3494" s="63">
        <f>SUM(E3473:E3493)</f>
        <v>98943.713441</v>
      </c>
      <c r="F3494" s="63"/>
      <c r="G3494" s="63">
        <f>SUM(G3473:G3493)</f>
        <v>21304.248131</v>
      </c>
      <c r="H3494" s="117"/>
      <c r="I3494" s="34">
        <f>SUM(I3473:I3493)</f>
        <v>27788.450737</v>
      </c>
      <c r="J3494" s="118"/>
      <c r="K3494" s="63">
        <f>SUM(K3473:K3493)</f>
        <v>33743.50361</v>
      </c>
      <c r="L3494" s="26"/>
      <c r="M3494" s="29">
        <f>SUM(M3473:M3493)</f>
        <v>16107.510962999999</v>
      </c>
    </row>
    <row r="3495" spans="1:13" ht="12.75">
      <c r="A3495" s="60" t="s">
        <v>42</v>
      </c>
      <c r="B3495" s="55"/>
      <c r="C3495" s="66"/>
      <c r="D3495" s="66"/>
      <c r="E3495" s="56">
        <f aca="true" t="shared" si="62" ref="E3495:E3500">G3495+I3495+K3495+M3495</f>
        <v>0</v>
      </c>
      <c r="F3495" s="66"/>
      <c r="G3495" s="56"/>
      <c r="H3495" s="74"/>
      <c r="I3495" s="56"/>
      <c r="J3495" s="74"/>
      <c r="K3495" s="56"/>
      <c r="L3495" s="74"/>
      <c r="M3495" s="56"/>
    </row>
    <row r="3496" spans="1:13" ht="12.75">
      <c r="A3496" s="41" t="s">
        <v>56</v>
      </c>
      <c r="B3496" s="46"/>
      <c r="C3496" s="7"/>
      <c r="D3496" s="7"/>
      <c r="E3496" s="7">
        <f t="shared" si="62"/>
        <v>0</v>
      </c>
      <c r="F3496" s="7"/>
      <c r="G3496" s="7"/>
      <c r="H3496" s="2"/>
      <c r="I3496" s="7"/>
      <c r="J3496" s="2"/>
      <c r="K3496" s="7"/>
      <c r="L3496" s="2"/>
      <c r="M3496" s="7"/>
    </row>
    <row r="3497" spans="1:13" ht="12.75">
      <c r="A3497" s="41" t="s">
        <v>156</v>
      </c>
      <c r="B3497" s="46"/>
      <c r="C3497" s="7"/>
      <c r="D3497" s="7"/>
      <c r="E3497" s="7">
        <f t="shared" si="62"/>
        <v>300</v>
      </c>
      <c r="F3497" s="7"/>
      <c r="G3497" s="7">
        <v>300</v>
      </c>
      <c r="H3497" s="2"/>
      <c r="I3497" s="7"/>
      <c r="J3497" s="2"/>
      <c r="K3497" s="7"/>
      <c r="L3497" s="2"/>
      <c r="M3497" s="7"/>
    </row>
    <row r="3498" spans="1:13" ht="13.5" thickBot="1">
      <c r="A3498" s="48" t="s">
        <v>16</v>
      </c>
      <c r="B3498" s="49"/>
      <c r="C3498" s="50"/>
      <c r="D3498" s="50"/>
      <c r="E3498" s="50">
        <f t="shared" si="62"/>
        <v>64.47776999999999</v>
      </c>
      <c r="F3498" s="50"/>
      <c r="G3498" s="50">
        <f>0.0089*C3449</f>
        <v>16.074289999999998</v>
      </c>
      <c r="H3498" s="22"/>
      <c r="I3498" s="50"/>
      <c r="J3498" s="22"/>
      <c r="K3498" s="50"/>
      <c r="L3498" s="22"/>
      <c r="M3498" s="50">
        <f>0.0268*C3449</f>
        <v>48.40348</v>
      </c>
    </row>
    <row r="3499" spans="1:13" ht="13.5" thickBot="1">
      <c r="A3499" s="62" t="s">
        <v>10</v>
      </c>
      <c r="B3499" s="81"/>
      <c r="C3499" s="63"/>
      <c r="D3499" s="63"/>
      <c r="E3499" s="63">
        <f t="shared" si="62"/>
        <v>364.47777</v>
      </c>
      <c r="F3499" s="63"/>
      <c r="G3499" s="63">
        <f>SUM(G3496:G3498)</f>
        <v>316.07429</v>
      </c>
      <c r="H3499" s="26"/>
      <c r="I3499" s="63"/>
      <c r="J3499" s="26"/>
      <c r="K3499" s="63"/>
      <c r="L3499" s="26"/>
      <c r="M3499" s="29">
        <f>SUM(M3496:M3498)</f>
        <v>48.40348</v>
      </c>
    </row>
    <row r="3500" spans="1:13" ht="13.5" thickBot="1">
      <c r="A3500" s="64" t="s">
        <v>29</v>
      </c>
      <c r="B3500" s="81"/>
      <c r="C3500" s="63"/>
      <c r="D3500" s="63"/>
      <c r="E3500" s="63">
        <f t="shared" si="62"/>
        <v>4140.84547</v>
      </c>
      <c r="F3500" s="63"/>
      <c r="G3500" s="63">
        <f>0.4236*C3449</f>
        <v>765.06396</v>
      </c>
      <c r="H3500" s="26"/>
      <c r="I3500" s="63">
        <f>0.5971*C3449</f>
        <v>1078.42231</v>
      </c>
      <c r="J3500" s="26"/>
      <c r="K3500" s="63"/>
      <c r="L3500" s="26"/>
      <c r="M3500" s="29">
        <f>1.272*C3449</f>
        <v>2297.3592</v>
      </c>
    </row>
    <row r="3501" spans="1:13" ht="21.75">
      <c r="A3501" s="65" t="s">
        <v>83</v>
      </c>
      <c r="B3501" s="61"/>
      <c r="C3501" s="56"/>
      <c r="D3501" s="56"/>
      <c r="E3501" s="56">
        <f>E3471+E3494+E3499+E3500</f>
        <v>251295.946546</v>
      </c>
      <c r="F3501" s="56"/>
      <c r="G3501" s="56">
        <f>G3471+G3494+G3499+G3500</f>
        <v>58441.218044999994</v>
      </c>
      <c r="H3501" s="74"/>
      <c r="I3501" s="56">
        <f>I3471+I3494+I3499+I3500</f>
        <v>69964.65190299999</v>
      </c>
      <c r="J3501" s="74"/>
      <c r="K3501" s="56">
        <f>K3471+K3494+K3499+K3500</f>
        <v>70272.122968</v>
      </c>
      <c r="L3501" s="74"/>
      <c r="M3501" s="56">
        <f>M3471+M3494+M3499+M3500</f>
        <v>52617.953629999996</v>
      </c>
    </row>
    <row r="3502" spans="1:13" ht="33.75">
      <c r="A3502" s="67" t="s">
        <v>84</v>
      </c>
      <c r="B3502" s="46"/>
      <c r="C3502" s="7"/>
      <c r="D3502" s="7"/>
      <c r="E3502" s="8">
        <f>E3501/3/C3449</f>
        <v>46.379112737574516</v>
      </c>
      <c r="F3502" s="7"/>
      <c r="G3502" s="8">
        <f>G3501/3/C3449</f>
        <v>10.785895584408392</v>
      </c>
      <c r="H3502" s="2"/>
      <c r="I3502" s="8">
        <f>I3501/3/C3449</f>
        <v>12.91265745768968</v>
      </c>
      <c r="J3502" s="2"/>
      <c r="K3502" s="8">
        <f>K3501/3/C3449</f>
        <v>12.969404235276746</v>
      </c>
      <c r="L3502" s="2"/>
      <c r="M3502" s="8">
        <f>M3501/3/C3449</f>
        <v>9.711155460199693</v>
      </c>
    </row>
    <row r="3503" spans="1:13" ht="12.75">
      <c r="A3503" s="69" t="s">
        <v>20</v>
      </c>
      <c r="B3503" s="44"/>
      <c r="C3503" s="45"/>
      <c r="D3503" s="45"/>
      <c r="E3503" s="45">
        <f>E3454-E3501</f>
        <v>-56953.30654600001</v>
      </c>
      <c r="F3503" s="45"/>
      <c r="G3503" s="7">
        <f>G3454-G3501</f>
        <v>-18174.908044999996</v>
      </c>
      <c r="H3503" s="2"/>
      <c r="I3503" s="7">
        <f>I3454-I3501-18175</f>
        <v>-39836.28190299999</v>
      </c>
      <c r="J3503" s="2"/>
      <c r="K3503" s="7">
        <f>K3454-K3501-39836</f>
        <v>-54335.432967999994</v>
      </c>
      <c r="L3503" s="2"/>
      <c r="M3503" s="7">
        <f>M3454-M3501-54335</f>
        <v>-56952.68363</v>
      </c>
    </row>
    <row r="3504" spans="1:13" ht="12.75">
      <c r="A3504" s="14" t="s">
        <v>24</v>
      </c>
      <c r="B3504" s="14"/>
      <c r="C3504" s="14"/>
      <c r="D3504" s="14"/>
      <c r="E3504" s="14"/>
      <c r="F3504" s="14"/>
      <c r="G3504" s="14"/>
      <c r="H3504" s="14"/>
      <c r="I3504" s="14"/>
      <c r="J3504" s="14"/>
      <c r="K3504" s="14"/>
      <c r="L3504" s="14"/>
      <c r="M3504" s="14"/>
    </row>
    <row r="3505" spans="1:13" ht="12.75">
      <c r="A3505" s="14" t="s">
        <v>35</v>
      </c>
      <c r="B3505" s="14"/>
      <c r="C3505" s="14"/>
      <c r="D3505" s="14"/>
      <c r="E3505" s="14"/>
      <c r="F3505" s="14"/>
      <c r="G3505" s="14"/>
      <c r="H3505" s="14"/>
      <c r="I3505" s="14"/>
      <c r="J3505" s="14"/>
      <c r="K3505" s="14"/>
      <c r="L3505" s="14"/>
      <c r="M3505" s="14"/>
    </row>
    <row r="3506" spans="1:13" ht="12.75">
      <c r="A3506" s="14" t="s">
        <v>25</v>
      </c>
      <c r="B3506" s="14"/>
      <c r="C3506" s="14"/>
      <c r="D3506" s="14"/>
      <c r="E3506" s="14"/>
      <c r="F3506" s="14"/>
      <c r="G3506" s="14"/>
      <c r="H3506" s="14"/>
      <c r="I3506" s="14"/>
      <c r="J3506" s="14"/>
      <c r="K3506" s="14"/>
      <c r="L3506" s="14"/>
      <c r="M3506" s="14"/>
    </row>
    <row r="3507" spans="1:13" ht="12.75">
      <c r="A3507" s="14"/>
      <c r="B3507" s="14"/>
      <c r="C3507" s="14"/>
      <c r="D3507" s="14"/>
      <c r="E3507" s="14"/>
      <c r="F3507" s="14"/>
      <c r="G3507" s="14"/>
      <c r="H3507" s="14"/>
      <c r="I3507" s="14"/>
      <c r="J3507" s="14"/>
      <c r="K3507" s="14"/>
      <c r="L3507" s="14"/>
      <c r="M3507" s="14"/>
    </row>
    <row r="3508" spans="1:13" ht="12.75">
      <c r="A3508" s="14"/>
      <c r="B3508" s="14"/>
      <c r="C3508" s="14"/>
      <c r="D3508" s="14"/>
      <c r="E3508" s="14"/>
      <c r="F3508" s="14"/>
      <c r="G3508" s="14"/>
      <c r="H3508" s="14"/>
      <c r="I3508" s="14"/>
      <c r="J3508" s="14"/>
      <c r="K3508" s="14"/>
      <c r="L3508" s="14"/>
      <c r="M3508" s="14"/>
    </row>
    <row r="3509" spans="1:13" ht="12.75">
      <c r="A3509" s="14"/>
      <c r="B3509" s="14"/>
      <c r="C3509" s="14"/>
      <c r="D3509" s="14"/>
      <c r="E3509" s="14"/>
      <c r="F3509" s="14"/>
      <c r="G3509" s="14"/>
      <c r="H3509" s="14"/>
      <c r="I3509" s="14"/>
      <c r="J3509" s="14"/>
      <c r="K3509" s="14"/>
      <c r="L3509" s="14"/>
      <c r="M3509" s="14"/>
    </row>
    <row r="3510" spans="1:13" ht="12.75">
      <c r="A3510" s="14"/>
      <c r="B3510" s="14"/>
      <c r="C3510" s="14"/>
      <c r="D3510" s="14"/>
      <c r="E3510" s="14"/>
      <c r="F3510" s="14"/>
      <c r="G3510" s="14"/>
      <c r="H3510" s="14"/>
      <c r="I3510" s="14"/>
      <c r="J3510" s="14"/>
      <c r="K3510" s="14"/>
      <c r="L3510" s="14"/>
      <c r="M3510" s="14"/>
    </row>
    <row r="3511" spans="1:13" ht="182.25" customHeight="1">
      <c r="A3511" s="14"/>
      <c r="B3511" s="14"/>
      <c r="C3511" s="14"/>
      <c r="D3511" s="14"/>
      <c r="E3511" s="14"/>
      <c r="F3511" s="14"/>
      <c r="G3511" s="14"/>
      <c r="H3511" s="14"/>
      <c r="I3511" s="14"/>
      <c r="J3511" s="14"/>
      <c r="K3511" s="14"/>
      <c r="L3511" s="14"/>
      <c r="M3511" s="14"/>
    </row>
  </sheetData>
  <mergeCells count="234">
    <mergeCell ref="F18:G18"/>
    <mergeCell ref="D100:E100"/>
    <mergeCell ref="F100:G100"/>
    <mergeCell ref="D174:E174"/>
    <mergeCell ref="F174:G174"/>
    <mergeCell ref="B18:C19"/>
    <mergeCell ref="B100:C101"/>
    <mergeCell ref="B174:C175"/>
    <mergeCell ref="D533:E533"/>
    <mergeCell ref="D322:E322"/>
    <mergeCell ref="D394:E394"/>
    <mergeCell ref="B322:C323"/>
    <mergeCell ref="D247:E247"/>
    <mergeCell ref="D463:E463"/>
    <mergeCell ref="D18:E18"/>
    <mergeCell ref="F3265:G3265"/>
    <mergeCell ref="B3173:C3174"/>
    <mergeCell ref="D3357:E3357"/>
    <mergeCell ref="F3357:G3357"/>
    <mergeCell ref="B3357:C3358"/>
    <mergeCell ref="F2897:G2897"/>
    <mergeCell ref="B2807:C2808"/>
    <mergeCell ref="D2990:E2990"/>
    <mergeCell ref="F2990:G2990"/>
    <mergeCell ref="B2990:C2991"/>
    <mergeCell ref="B2505:C2506"/>
    <mergeCell ref="D2623:E2623"/>
    <mergeCell ref="F2623:G2623"/>
    <mergeCell ref="B2623:C2624"/>
    <mergeCell ref="F2225:G2225"/>
    <mergeCell ref="B2131:C2132"/>
    <mergeCell ref="D2317:E2317"/>
    <mergeCell ref="F2317:G2317"/>
    <mergeCell ref="B2317:C2318"/>
    <mergeCell ref="F1850:G1850"/>
    <mergeCell ref="B1751:C1752"/>
    <mergeCell ref="D1942:E1942"/>
    <mergeCell ref="F1942:G1942"/>
    <mergeCell ref="B1942:C1943"/>
    <mergeCell ref="F1474:G1474"/>
    <mergeCell ref="B1385:C1386"/>
    <mergeCell ref="D1566:E1566"/>
    <mergeCell ref="F1566:G1566"/>
    <mergeCell ref="B1566:C1567"/>
    <mergeCell ref="F1097:G1097"/>
    <mergeCell ref="B998:C999"/>
    <mergeCell ref="D1192:E1192"/>
    <mergeCell ref="F1192:G1192"/>
    <mergeCell ref="B1192:C1193"/>
    <mergeCell ref="F719:G719"/>
    <mergeCell ref="B626:C627"/>
    <mergeCell ref="D817:E817"/>
    <mergeCell ref="F817:G817"/>
    <mergeCell ref="B817:C818"/>
    <mergeCell ref="H18:I18"/>
    <mergeCell ref="J18:K18"/>
    <mergeCell ref="L18:M18"/>
    <mergeCell ref="H100:I100"/>
    <mergeCell ref="J100:K100"/>
    <mergeCell ref="L100:M100"/>
    <mergeCell ref="H174:I174"/>
    <mergeCell ref="J174:K174"/>
    <mergeCell ref="L174:M174"/>
    <mergeCell ref="B247:C248"/>
    <mergeCell ref="H247:I247"/>
    <mergeCell ref="J247:K247"/>
    <mergeCell ref="L247:M247"/>
    <mergeCell ref="F247:G247"/>
    <mergeCell ref="H322:I322"/>
    <mergeCell ref="J322:K322"/>
    <mergeCell ref="L322:M322"/>
    <mergeCell ref="B394:C395"/>
    <mergeCell ref="H394:I394"/>
    <mergeCell ref="J394:K394"/>
    <mergeCell ref="L394:M394"/>
    <mergeCell ref="F322:G322"/>
    <mergeCell ref="F394:G394"/>
    <mergeCell ref="B463:C464"/>
    <mergeCell ref="H463:I463"/>
    <mergeCell ref="J463:K463"/>
    <mergeCell ref="L463:M463"/>
    <mergeCell ref="F463:G463"/>
    <mergeCell ref="B533:C534"/>
    <mergeCell ref="H533:I533"/>
    <mergeCell ref="J533:K533"/>
    <mergeCell ref="L533:M533"/>
    <mergeCell ref="F533:G533"/>
    <mergeCell ref="H626:I626"/>
    <mergeCell ref="J626:K626"/>
    <mergeCell ref="L626:M626"/>
    <mergeCell ref="B719:C720"/>
    <mergeCell ref="H719:I719"/>
    <mergeCell ref="J719:K719"/>
    <mergeCell ref="L719:M719"/>
    <mergeCell ref="D626:E626"/>
    <mergeCell ref="F626:G626"/>
    <mergeCell ref="D719:E719"/>
    <mergeCell ref="H817:I817"/>
    <mergeCell ref="J817:K817"/>
    <mergeCell ref="L817:M817"/>
    <mergeCell ref="B910:C911"/>
    <mergeCell ref="H910:I910"/>
    <mergeCell ref="J910:K910"/>
    <mergeCell ref="L910:M910"/>
    <mergeCell ref="D910:E910"/>
    <mergeCell ref="F910:G910"/>
    <mergeCell ref="H998:I998"/>
    <mergeCell ref="J998:K998"/>
    <mergeCell ref="L998:M998"/>
    <mergeCell ref="B1097:C1098"/>
    <mergeCell ref="H1097:I1097"/>
    <mergeCell ref="J1097:K1097"/>
    <mergeCell ref="L1097:M1097"/>
    <mergeCell ref="D998:E998"/>
    <mergeCell ref="F998:G998"/>
    <mergeCell ref="D1097:E1097"/>
    <mergeCell ref="H1192:I1192"/>
    <mergeCell ref="J1192:K1192"/>
    <mergeCell ref="L1192:M1192"/>
    <mergeCell ref="B1290:C1291"/>
    <mergeCell ref="H1290:I1290"/>
    <mergeCell ref="J1290:K1290"/>
    <mergeCell ref="L1290:M1290"/>
    <mergeCell ref="D1290:E1290"/>
    <mergeCell ref="F1290:G1290"/>
    <mergeCell ref="H1385:I1385"/>
    <mergeCell ref="J1385:K1385"/>
    <mergeCell ref="L1385:M1385"/>
    <mergeCell ref="B1474:C1475"/>
    <mergeCell ref="H1474:I1474"/>
    <mergeCell ref="J1474:K1474"/>
    <mergeCell ref="L1474:M1474"/>
    <mergeCell ref="D1385:E1385"/>
    <mergeCell ref="F1385:G1385"/>
    <mergeCell ref="D1474:E1474"/>
    <mergeCell ref="H1566:I1566"/>
    <mergeCell ref="J1566:K1566"/>
    <mergeCell ref="L1566:M1566"/>
    <mergeCell ref="B1660:C1661"/>
    <mergeCell ref="H1660:I1660"/>
    <mergeCell ref="J1660:K1660"/>
    <mergeCell ref="L1660:M1660"/>
    <mergeCell ref="D1660:E1660"/>
    <mergeCell ref="F1660:G1660"/>
    <mergeCell ref="H1751:I1751"/>
    <mergeCell ref="J1751:K1751"/>
    <mergeCell ref="L1751:M1751"/>
    <mergeCell ref="B1850:C1851"/>
    <mergeCell ref="H1850:I1850"/>
    <mergeCell ref="J1850:K1850"/>
    <mergeCell ref="L1850:M1850"/>
    <mergeCell ref="D1751:E1751"/>
    <mergeCell ref="F1751:G1751"/>
    <mergeCell ref="D1850:E1850"/>
    <mergeCell ref="H1942:I1942"/>
    <mergeCell ref="J1942:K1942"/>
    <mergeCell ref="L1942:M1942"/>
    <mergeCell ref="B2034:C2035"/>
    <mergeCell ref="H2034:I2034"/>
    <mergeCell ref="J2034:K2034"/>
    <mergeCell ref="L2034:M2034"/>
    <mergeCell ref="D2034:E2034"/>
    <mergeCell ref="F2034:G2034"/>
    <mergeCell ref="H2131:I2131"/>
    <mergeCell ref="J2131:K2131"/>
    <mergeCell ref="L2131:M2131"/>
    <mergeCell ref="B2225:C2226"/>
    <mergeCell ref="H2225:I2225"/>
    <mergeCell ref="J2225:K2225"/>
    <mergeCell ref="L2225:M2225"/>
    <mergeCell ref="D2131:E2131"/>
    <mergeCell ref="F2131:G2131"/>
    <mergeCell ref="D2225:E2225"/>
    <mergeCell ref="H2317:I2317"/>
    <mergeCell ref="J2317:K2317"/>
    <mergeCell ref="L2317:M2317"/>
    <mergeCell ref="B2410:C2411"/>
    <mergeCell ref="H2410:I2410"/>
    <mergeCell ref="J2410:K2410"/>
    <mergeCell ref="L2410:M2410"/>
    <mergeCell ref="D2410:E2410"/>
    <mergeCell ref="F2410:G2410"/>
    <mergeCell ref="H2505:I2505"/>
    <mergeCell ref="J2505:K2505"/>
    <mergeCell ref="L2505:M2505"/>
    <mergeCell ref="D2505:E2505"/>
    <mergeCell ref="F2505:G2505"/>
    <mergeCell ref="H2623:I2623"/>
    <mergeCell ref="J2623:K2623"/>
    <mergeCell ref="L2623:M2623"/>
    <mergeCell ref="B2714:C2715"/>
    <mergeCell ref="H2714:I2714"/>
    <mergeCell ref="J2714:K2714"/>
    <mergeCell ref="L2714:M2714"/>
    <mergeCell ref="D2714:E2714"/>
    <mergeCell ref="F2714:G2714"/>
    <mergeCell ref="H2807:I2807"/>
    <mergeCell ref="J2807:K2807"/>
    <mergeCell ref="L2807:M2807"/>
    <mergeCell ref="B2897:C2898"/>
    <mergeCell ref="H2897:I2897"/>
    <mergeCell ref="J2897:K2897"/>
    <mergeCell ref="L2897:M2897"/>
    <mergeCell ref="D2807:E2807"/>
    <mergeCell ref="F2807:G2807"/>
    <mergeCell ref="D2897:E2897"/>
    <mergeCell ref="H2990:I2990"/>
    <mergeCell ref="J2990:K2990"/>
    <mergeCell ref="L2990:M2990"/>
    <mergeCell ref="B3079:C3080"/>
    <mergeCell ref="H3079:I3079"/>
    <mergeCell ref="J3079:K3079"/>
    <mergeCell ref="L3079:M3079"/>
    <mergeCell ref="D3079:E3079"/>
    <mergeCell ref="F3079:G3079"/>
    <mergeCell ref="H3173:I3173"/>
    <mergeCell ref="J3173:K3173"/>
    <mergeCell ref="L3173:M3173"/>
    <mergeCell ref="B3265:C3266"/>
    <mergeCell ref="H3265:I3265"/>
    <mergeCell ref="J3265:K3265"/>
    <mergeCell ref="L3265:M3265"/>
    <mergeCell ref="D3173:E3173"/>
    <mergeCell ref="F3173:G3173"/>
    <mergeCell ref="D3265:E3265"/>
    <mergeCell ref="H3357:I3357"/>
    <mergeCell ref="J3357:K3357"/>
    <mergeCell ref="L3357:M3357"/>
    <mergeCell ref="B3444:C3445"/>
    <mergeCell ref="H3444:I3444"/>
    <mergeCell ref="J3444:K3444"/>
    <mergeCell ref="L3444:M3444"/>
    <mergeCell ref="D3444:E3444"/>
    <mergeCell ref="F3444:G344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"/>
  <sheetViews>
    <sheetView workbookViewId="0" topLeftCell="A1">
      <selection activeCell="K19" sqref="K19"/>
    </sheetView>
  </sheetViews>
  <sheetFormatPr defaultColWidth="9.00390625" defaultRowHeight="12.75"/>
  <cols>
    <col min="1" max="1" width="4.25390625" style="0" customWidth="1"/>
    <col min="2" max="2" width="12.875" style="0" customWidth="1"/>
    <col min="3" max="3" width="9.00390625" style="0" customWidth="1"/>
    <col min="4" max="4" width="11.125" style="0" customWidth="1"/>
    <col min="5" max="5" width="12.75390625" style="0" customWidth="1"/>
    <col min="6" max="6" width="7.75390625" style="0" customWidth="1"/>
    <col min="7" max="7" width="8.125" style="0" customWidth="1"/>
    <col min="8" max="8" width="9.25390625" style="0" bestFit="1" customWidth="1"/>
    <col min="9" max="9" width="10.375" style="0" bestFit="1" customWidth="1"/>
    <col min="10" max="11" width="9.25390625" style="0" bestFit="1" customWidth="1"/>
    <col min="12" max="12" width="8.00390625" style="0" customWidth="1"/>
    <col min="13" max="13" width="8.125" style="0" customWidth="1"/>
    <col min="14" max="14" width="9.25390625" style="0" bestFit="1" customWidth="1"/>
    <col min="15" max="15" width="6.875" style="0" customWidth="1"/>
    <col min="16" max="16" width="9.00390625" style="0" customWidth="1"/>
  </cols>
  <sheetData>
    <row r="3" spans="1:16" ht="12.75">
      <c r="A3" s="14"/>
      <c r="B3" s="14"/>
      <c r="C3" s="31"/>
      <c r="D3" s="5"/>
      <c r="E3" s="5"/>
      <c r="F3" s="5"/>
      <c r="G3" s="5"/>
      <c r="H3" s="5"/>
      <c r="I3" s="5"/>
      <c r="J3" s="5"/>
      <c r="K3" s="5"/>
      <c r="L3" s="31"/>
      <c r="M3" s="14"/>
      <c r="N3" s="14"/>
      <c r="O3" s="14"/>
      <c r="P3" s="14"/>
    </row>
  </sheetData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0" sqref="I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Zentralnye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Nadegda</dc:creator>
  <cp:keywords/>
  <dc:description/>
  <cp:lastModifiedBy>User</cp:lastModifiedBy>
  <cp:lastPrinted>2014-03-28T10:59:33Z</cp:lastPrinted>
  <dcterms:created xsi:type="dcterms:W3CDTF">2011-08-11T04:59:24Z</dcterms:created>
  <dcterms:modified xsi:type="dcterms:W3CDTF">2014-03-31T06:52:24Z</dcterms:modified>
  <cp:category/>
  <cp:version/>
  <cp:contentType/>
  <cp:contentStatus/>
</cp:coreProperties>
</file>